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ACCA0FA2-8292-440D-851C-50B2AAD7B000}" xr6:coauthVersionLast="37" xr6:coauthVersionMax="37" xr10:uidLastSave="{00000000-0000-0000-0000-000000000000}"/>
  <bookViews>
    <workbookView xWindow="0" yWindow="0" windowWidth="23040" windowHeight="9060" tabRatio="741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</sheets>
  <externalReferences>
    <externalReference r:id="rId15"/>
    <externalReference r:id="rId16"/>
    <externalReference r:id="rId17"/>
  </externalReferences>
  <definedNames>
    <definedName name="_xlnm._FilterDatabase" localSheetId="13" hidden="1">Данные!$AD$1:$AE$1157</definedName>
    <definedName name="suhar">Сухарь!$A$62:$V$74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N8" i="1" l="1"/>
  <c r="N25" i="1" s="1"/>
  <c r="B52" i="1"/>
  <c r="F39" i="1"/>
  <c r="E37" i="1"/>
  <c r="E36" i="1"/>
  <c r="J30" i="1"/>
  <c r="I30" i="1"/>
  <c r="F24" i="1"/>
  <c r="G18" i="1"/>
  <c r="N18" i="1" l="1"/>
  <c r="G9" i="1" s="1"/>
  <c r="D58" i="15" l="1"/>
  <c r="D57" i="15"/>
  <c r="C58" i="15"/>
  <c r="B58" i="15"/>
  <c r="B57" i="15"/>
  <c r="B59" i="15" s="1"/>
  <c r="C57" i="15"/>
  <c r="C59" i="15"/>
  <c r="E42" i="15"/>
  <c r="E41" i="15"/>
  <c r="F41" i="15"/>
  <c r="J50" i="15"/>
  <c r="G42" i="15"/>
  <c r="D59" i="15" l="1"/>
  <c r="E59" i="15" s="1"/>
  <c r="J33" i="15" s="1"/>
  <c r="J51" i="15" s="1"/>
  <c r="B45" i="15"/>
  <c r="F34" i="15"/>
  <c r="F33" i="15"/>
  <c r="F29" i="15"/>
  <c r="K24" i="15"/>
  <c r="J24" i="15"/>
  <c r="K23" i="15"/>
  <c r="J23" i="15"/>
  <c r="E23" i="15"/>
  <c r="F18" i="15"/>
  <c r="F17" i="15"/>
  <c r="D17" i="15"/>
  <c r="N16" i="15"/>
  <c r="G9" i="15"/>
  <c r="K10" i="15" s="1"/>
  <c r="N27" i="15" l="1"/>
  <c r="N19" i="15"/>
  <c r="G10" i="15" s="1"/>
  <c r="N20" i="15"/>
  <c r="K8" i="15"/>
  <c r="M6" i="4" l="1"/>
  <c r="I256" i="3"/>
  <c r="I257" i="3" s="1"/>
  <c r="C257" i="3" s="1"/>
  <c r="F17" i="4"/>
  <c r="M28" i="4"/>
  <c r="A242" i="3"/>
  <c r="B307" i="3"/>
  <c r="F312" i="3" s="1"/>
  <c r="B306" i="3"/>
  <c r="I309" i="3" s="1"/>
  <c r="F309" i="3" l="1"/>
  <c r="J309" i="3"/>
  <c r="I312" i="3"/>
  <c r="G309" i="3"/>
  <c r="B309" i="3"/>
  <c r="C309" i="3"/>
  <c r="C312" i="3"/>
  <c r="H312" i="3"/>
  <c r="E312" i="3"/>
  <c r="D312" i="3"/>
  <c r="D309" i="3"/>
  <c r="A312" i="3"/>
  <c r="E309" i="3"/>
  <c r="J312" i="3"/>
  <c r="B312" i="3"/>
  <c r="H309" i="3"/>
  <c r="G312" i="3"/>
  <c r="A309" i="3"/>
  <c r="I305" i="3" l="1"/>
  <c r="G305" i="3"/>
  <c r="O233" i="3" l="1"/>
  <c r="O239" i="3"/>
  <c r="O234" i="3" l="1"/>
  <c r="O235" i="3" s="1"/>
  <c r="O236" i="3" l="1"/>
  <c r="K52" i="14"/>
  <c r="R3" i="14" l="1"/>
  <c r="R5" i="14"/>
  <c r="R4" i="14"/>
  <c r="H24" i="14"/>
  <c r="F24" i="14"/>
  <c r="J21" i="14"/>
  <c r="O237" i="3" l="1"/>
  <c r="O238" i="3" s="1"/>
  <c r="I11" i="14"/>
  <c r="U43" i="4"/>
  <c r="S43" i="4"/>
  <c r="S42" i="4"/>
  <c r="S40" i="4"/>
  <c r="U38" i="4"/>
  <c r="T43" i="4"/>
  <c r="U40" i="4" s="1"/>
  <c r="S38" i="4"/>
  <c r="Q37" i="4"/>
  <c r="U36" i="4"/>
  <c r="W38" i="4"/>
  <c r="S36" i="4"/>
  <c r="Q34" i="4"/>
  <c r="O240" i="3" l="1"/>
  <c r="O241" i="3" s="1"/>
  <c r="O242" i="3" s="1"/>
  <c r="N237" i="3" s="1"/>
  <c r="S44" i="4"/>
  <c r="Q39" i="4"/>
  <c r="U44" i="4"/>
  <c r="V44" i="4" s="1"/>
  <c r="U28" i="4"/>
  <c r="S28" i="4"/>
  <c r="Q5" i="4"/>
  <c r="T28" i="4"/>
  <c r="U25" i="4" s="1"/>
  <c r="S27" i="4"/>
  <c r="S25" i="4"/>
  <c r="U23" i="4"/>
  <c r="S23" i="4"/>
  <c r="Q22" i="4"/>
  <c r="U21" i="4"/>
  <c r="S21" i="4"/>
  <c r="Q19" i="4"/>
  <c r="N235" i="3" l="1"/>
  <c r="N240" i="3"/>
  <c r="N233" i="3"/>
  <c r="N238" i="3"/>
  <c r="N239" i="3"/>
  <c r="N243" i="3"/>
  <c r="N236" i="3"/>
  <c r="N234" i="3"/>
  <c r="N242" i="3"/>
  <c r="N241" i="3"/>
  <c r="X44" i="4"/>
  <c r="U29" i="4"/>
  <c r="V29" i="4" s="1"/>
  <c r="S29" i="4"/>
  <c r="Q24" i="4"/>
  <c r="W29" i="4" l="1"/>
  <c r="N7" i="12" l="1"/>
  <c r="CK47" i="8" l="1"/>
  <c r="CD42" i="8" l="1"/>
  <c r="CE35" i="8"/>
  <c r="CH12" i="8"/>
  <c r="CL9" i="8" s="1"/>
  <c r="CL8" i="8"/>
  <c r="S50" i="12" l="1"/>
  <c r="F14" i="5" l="1"/>
  <c r="Q29" i="12" l="1"/>
  <c r="U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L49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18" i="12" s="1"/>
  <c r="AA20" i="12"/>
  <c r="AC20" i="12" s="1"/>
  <c r="T34" i="12" s="1"/>
  <c r="U26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C19" i="5" l="1"/>
  <c r="N8" i="5"/>
  <c r="N9" i="5" s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P11" i="14"/>
  <c r="E29" i="14"/>
  <c r="E28" i="14" l="1"/>
  <c r="E24" i="14"/>
  <c r="P15" i="14"/>
  <c r="L14" i="14"/>
  <c r="I14" i="14"/>
  <c r="F40" i="14"/>
  <c r="K14" i="14"/>
  <c r="D16" i="14" l="1"/>
  <c r="G24" i="14"/>
  <c r="B47" i="14"/>
  <c r="P8" i="14"/>
  <c r="P13" i="14" s="1"/>
  <c r="P16" i="14" s="1"/>
  <c r="I10" i="14" l="1"/>
  <c r="I9" i="14"/>
  <c r="P6" i="14"/>
  <c r="I8" i="14" s="1"/>
  <c r="I12" i="14" l="1"/>
  <c r="I13" i="14" s="1"/>
  <c r="M7" i="14"/>
  <c r="F41" i="14" l="1"/>
  <c r="M8" i="14"/>
  <c r="V26" i="6"/>
  <c r="AG6" i="6" l="1"/>
  <c r="AG7" i="6" s="1"/>
  <c r="AF6" i="6"/>
  <c r="AF7" i="6" s="1"/>
  <c r="AF5" i="6"/>
  <c r="AG5" i="6"/>
  <c r="AJ4" i="6"/>
  <c r="AH5" i="6" s="1"/>
  <c r="AH6" i="6" s="1"/>
  <c r="AH7" i="6" s="1"/>
  <c r="AI5" i="6" l="1"/>
  <c r="AI6" i="6" s="1"/>
  <c r="AI7" i="6" s="1"/>
  <c r="E30" i="6"/>
  <c r="E31" i="6"/>
  <c r="F30" i="6"/>
  <c r="F31" i="6"/>
  <c r="N22" i="6" l="1"/>
  <c r="N23" i="6" s="1"/>
  <c r="I20" i="11"/>
  <c r="L144" i="3"/>
  <c r="L143" i="3"/>
  <c r="D285" i="3" l="1"/>
  <c r="D270" i="3"/>
  <c r="T11" i="4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H31" i="15" s="1"/>
  <c r="T34" i="3"/>
  <c r="S34" i="3"/>
  <c r="R34" i="3"/>
  <c r="Q34" i="3"/>
  <c r="P34" i="3"/>
  <c r="O34" i="3"/>
  <c r="N34" i="3"/>
  <c r="M34" i="3"/>
  <c r="L34" i="3"/>
  <c r="V33" i="3"/>
  <c r="U33" i="3"/>
  <c r="E28" i="15" s="1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V74" i="10"/>
  <c r="U74" i="10"/>
  <c r="T74" i="10"/>
  <c r="S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V73" i="10"/>
  <c r="U73" i="10"/>
  <c r="T73" i="10"/>
  <c r="S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V72" i="10"/>
  <c r="U72" i="10"/>
  <c r="T72" i="10"/>
  <c r="S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V71" i="10"/>
  <c r="U71" i="10"/>
  <c r="T71" i="10"/>
  <c r="S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V70" i="10"/>
  <c r="U70" i="10"/>
  <c r="T70" i="10"/>
  <c r="S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V69" i="10"/>
  <c r="U69" i="10"/>
  <c r="T69" i="10"/>
  <c r="S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V68" i="10"/>
  <c r="U68" i="10"/>
  <c r="T68" i="10"/>
  <c r="S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V67" i="10"/>
  <c r="U67" i="10"/>
  <c r="T67" i="10"/>
  <c r="S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V66" i="10"/>
  <c r="U66" i="10"/>
  <c r="T66" i="10"/>
  <c r="S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V65" i="10"/>
  <c r="U65" i="10"/>
  <c r="T65" i="10"/>
  <c r="S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V64" i="10"/>
  <c r="U64" i="10"/>
  <c r="T64" i="10"/>
  <c r="S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V63" i="10"/>
  <c r="U63" i="10"/>
  <c r="T63" i="10"/>
  <c r="S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V62" i="10"/>
  <c r="U62" i="10"/>
  <c r="T62" i="10"/>
  <c r="S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B60" i="10"/>
  <c r="M8" i="2" l="1"/>
  <c r="E29" i="2" s="1"/>
  <c r="M6" i="2"/>
  <c r="I22" i="2" s="1"/>
  <c r="M7" i="2"/>
  <c r="M5" i="2"/>
  <c r="M14" i="2"/>
  <c r="M4" i="2"/>
  <c r="I33" i="2" s="1"/>
  <c r="M13" i="2"/>
  <c r="M12" i="2"/>
  <c r="M11" i="2"/>
  <c r="R133" i="3" l="1"/>
  <c r="Q11" i="4"/>
  <c r="T9" i="4" s="1"/>
  <c r="S9" i="4"/>
  <c r="Q8" i="4"/>
  <c r="R14" i="4" s="1"/>
  <c r="S7" i="4"/>
  <c r="S11" i="4" l="1"/>
  <c r="S13" i="4" s="1"/>
  <c r="S14" i="4" s="1"/>
  <c r="Q14" i="4"/>
  <c r="U11" i="4"/>
  <c r="V14" i="4" l="1"/>
  <c r="S29" i="5" l="1"/>
  <c r="S30" i="5" s="1"/>
  <c r="H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AZ19" i="12" s="1"/>
  <c r="E40" i="4" l="1"/>
  <c r="S25" i="11" l="1"/>
  <c r="V36" i="6" l="1"/>
  <c r="V34" i="6" s="1"/>
  <c r="S38" i="6"/>
  <c r="C38" i="6"/>
  <c r="Z22" i="6"/>
  <c r="U22" i="6"/>
  <c r="V27" i="6"/>
  <c r="U17" i="6"/>
  <c r="S22" i="6"/>
  <c r="F26" i="6" l="1"/>
  <c r="AD14" i="11" l="1"/>
  <c r="AD16" i="11"/>
  <c r="Q19" i="11"/>
  <c r="P19" i="11"/>
  <c r="R19" i="11"/>
  <c r="Z21" i="6" l="1"/>
  <c r="U21" i="6"/>
  <c r="S21" i="6"/>
  <c r="U13" i="5" l="1"/>
  <c r="U21" i="5" s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M16" i="11"/>
  <c r="C20" i="11" l="1"/>
  <c r="S19" i="11" l="1"/>
  <c r="T19" i="11"/>
  <c r="Z47" i="11"/>
  <c r="AS39" i="11"/>
  <c r="BD33" i="11"/>
  <c r="AJ33" i="11"/>
  <c r="AS27" i="11"/>
  <c r="AS17" i="11"/>
  <c r="AJ11" i="11"/>
  <c r="AS3" i="11"/>
  <c r="U19" i="11" l="1"/>
  <c r="S20" i="11" s="1"/>
  <c r="S21" i="11"/>
  <c r="S22" i="11" l="1"/>
  <c r="Q21" i="11"/>
  <c r="R21" i="11"/>
  <c r="Q20" i="11"/>
  <c r="P22" i="11"/>
  <c r="T22" i="11"/>
  <c r="Q22" i="11"/>
  <c r="T21" i="11"/>
  <c r="P21" i="11"/>
  <c r="P20" i="11"/>
  <c r="R22" i="11"/>
  <c r="R20" i="11"/>
  <c r="T20" i="11"/>
  <c r="E140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C20" i="5" l="1"/>
  <c r="B205" i="3" l="1"/>
  <c r="A234" i="3" s="1"/>
  <c r="B204" i="3"/>
  <c r="A231" i="3" s="1"/>
  <c r="K238" i="3" l="1"/>
  <c r="A253" i="3" l="1"/>
  <c r="A243" i="3" l="1"/>
  <c r="A244" i="3"/>
  <c r="A245" i="3"/>
  <c r="A246" i="3"/>
  <c r="A247" i="3"/>
  <c r="A248" i="3"/>
  <c r="A249" i="3"/>
  <c r="A250" i="3"/>
  <c r="A251" i="3"/>
  <c r="A252" i="3"/>
  <c r="J18" i="9" l="1"/>
  <c r="N198" i="3" s="1"/>
  <c r="P198" i="3" s="1"/>
  <c r="R198" i="3" s="1"/>
  <c r="I13" i="9" s="1"/>
  <c r="M8" i="9"/>
  <c r="J19" i="9"/>
  <c r="M9" i="9" l="1"/>
  <c r="M6" i="9"/>
  <c r="Q159" i="3" l="1"/>
  <c r="L181" i="3" s="1"/>
  <c r="J184" i="3" l="1"/>
  <c r="J185" i="3"/>
  <c r="J186" i="3"/>
  <c r="J187" i="3"/>
  <c r="J188" i="3"/>
  <c r="J189" i="3"/>
  <c r="J190" i="3"/>
  <c r="J191" i="3"/>
  <c r="J192" i="3"/>
  <c r="J193" i="3"/>
  <c r="J183" i="3"/>
  <c r="N144" i="3" l="1"/>
  <c r="O144" i="3" s="1"/>
  <c r="N143" i="3"/>
  <c r="O143" i="3" s="1"/>
  <c r="K117" i="5" l="1"/>
  <c r="E30" i="2" l="1"/>
  <c r="I34" i="2"/>
  <c r="I23" i="2"/>
  <c r="N159" i="3" l="1"/>
  <c r="O159" i="3" s="1"/>
  <c r="F9" i="5" l="1"/>
  <c r="E157" i="3"/>
  <c r="E74" i="13"/>
  <c r="Q144" i="3" l="1"/>
  <c r="L166" i="3"/>
  <c r="N12" i="5" s="1"/>
  <c r="Q143" i="3"/>
  <c r="C144" i="5"/>
  <c r="C35" i="5"/>
  <c r="S16" i="5" l="1"/>
  <c r="S18" i="5" s="1"/>
  <c r="S17" i="5" l="1"/>
  <c r="S19" i="5" l="1"/>
  <c r="K118" i="5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E73" i="13" s="1"/>
  <c r="G52" i="13"/>
  <c r="G53" i="13" s="1"/>
  <c r="K50" i="13"/>
  <c r="K51" i="13" s="1"/>
  <c r="I38" i="13" l="1"/>
  <c r="F39" i="13" s="1"/>
  <c r="F40" i="13" s="1"/>
  <c r="B50" i="4"/>
  <c r="D42" i="13" l="1"/>
  <c r="D34" i="4"/>
  <c r="E22" i="4"/>
  <c r="V5" i="5" l="1"/>
  <c r="R6" i="5" s="1"/>
  <c r="R7" i="5" s="1"/>
  <c r="R8" i="5" s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N28" i="5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L14" i="11" l="1"/>
  <c r="L13" i="11"/>
  <c r="L12" i="11"/>
  <c r="L11" i="11"/>
  <c r="C32" i="11" s="1"/>
  <c r="L7" i="11"/>
  <c r="L6" i="11"/>
  <c r="F44" i="11" s="1"/>
  <c r="L5" i="11"/>
  <c r="Q9" i="11"/>
  <c r="L4" i="11" s="1"/>
  <c r="E32" i="11" l="1"/>
  <c r="I36" i="11"/>
  <c r="I24" i="11"/>
  <c r="E203" i="3" l="1"/>
  <c r="AJ41" i="8" l="1"/>
  <c r="AF46" i="8" l="1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AJ13" i="8" l="1"/>
  <c r="AN8" i="8" s="1"/>
  <c r="AC45" i="8" l="1"/>
  <c r="V40" i="8"/>
  <c r="W33" i="8"/>
  <c r="X30" i="8"/>
  <c r="AB29" i="8"/>
  <c r="AB28" i="8"/>
  <c r="AB27" i="8"/>
  <c r="AB26" i="8"/>
  <c r="Z11" i="8"/>
  <c r="AD8" i="8" s="1"/>
  <c r="AD7" i="8"/>
  <c r="B49" i="11" l="1"/>
  <c r="D37" i="2" l="1"/>
  <c r="L15" i="11" l="1"/>
  <c r="L8" i="11"/>
  <c r="M18" i="11" s="1"/>
  <c r="F12" i="11" l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M15" i="10"/>
  <c r="M7" i="10" l="1"/>
  <c r="M8" i="10"/>
  <c r="I19" i="10" s="1"/>
  <c r="J19" i="10" s="1"/>
  <c r="M3" i="10"/>
  <c r="I17" i="10" s="1"/>
  <c r="J17" i="10" s="1"/>
  <c r="M14" i="10"/>
  <c r="I24" i="10" s="1"/>
  <c r="M13" i="10"/>
  <c r="I23" i="10" s="1"/>
  <c r="J23" i="10" s="1"/>
  <c r="M12" i="10"/>
  <c r="I22" i="10" s="1"/>
  <c r="J22" i="10" s="1"/>
  <c r="M11" i="10"/>
  <c r="M6" i="10"/>
  <c r="M5" i="10"/>
  <c r="C77" i="10" s="1"/>
  <c r="F38" i="10" s="1"/>
  <c r="M4" i="10"/>
  <c r="F16" i="2"/>
  <c r="J24" i="10" l="1"/>
  <c r="I18" i="10"/>
  <c r="J18" i="10" s="1"/>
  <c r="X30" i="6" l="1"/>
  <c r="AH411" i="3" l="1"/>
  <c r="F36" i="6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AA8" i="6" l="1"/>
  <c r="R45" i="6" l="1"/>
  <c r="U33" i="6"/>
  <c r="AA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C79" i="3" s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91" i="3" l="1"/>
  <c r="AC87" i="3"/>
  <c r="AC86" i="3"/>
  <c r="AC85" i="3"/>
  <c r="AC93" i="3"/>
  <c r="AC84" i="3"/>
  <c r="AC90" i="3"/>
  <c r="AC88" i="3"/>
  <c r="AC89" i="3" l="1"/>
  <c r="AC92" i="3" s="1"/>
  <c r="F29" i="5" l="1"/>
  <c r="E16" i="6" l="1"/>
  <c r="C21" i="6"/>
  <c r="F34" i="6"/>
  <c r="J21" i="6"/>
  <c r="P8" i="6"/>
  <c r="AP27" i="3" l="1"/>
  <c r="H32" i="6" s="1"/>
  <c r="X32" i="6" s="1"/>
  <c r="H28" i="4"/>
  <c r="I28" i="4"/>
  <c r="J28" i="4"/>
  <c r="F27" i="6"/>
  <c r="J22" i="6"/>
  <c r="C22" i="6"/>
  <c r="N9" i="6" l="1"/>
  <c r="N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E25" i="5" l="1"/>
  <c r="C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8" i="2"/>
  <c r="M19" i="2" s="1"/>
  <c r="D101" i="3" l="1"/>
  <c r="F101" i="3"/>
  <c r="B96" i="3"/>
  <c r="N23" i="5" l="1"/>
  <c r="N27" i="5" l="1"/>
  <c r="E29" i="5"/>
  <c r="E31" i="5" s="1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H29" i="5" l="1"/>
  <c r="H138" i="5" s="1"/>
  <c r="U32" i="12"/>
  <c r="H31" i="5"/>
  <c r="H140" i="5" s="1"/>
  <c r="AX33" i="12"/>
  <c r="M31" i="5"/>
  <c r="AX32" i="12"/>
  <c r="AJ33" i="12"/>
  <c r="AO27" i="3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D92" i="5" a="1"/>
  <c r="D92" i="5" s="1"/>
  <c r="D84" i="5" a="1"/>
  <c r="D84" i="5" s="1"/>
  <c r="D76" i="5" a="1"/>
  <c r="D76" i="5" s="1"/>
  <c r="D74" i="5" a="1"/>
  <c r="D74" i="5" s="1"/>
  <c r="D91" i="5" a="1"/>
  <c r="D91" i="5" s="1"/>
  <c r="D83" i="5" a="1"/>
  <c r="D83" i="5" s="1"/>
  <c r="D75" i="5" a="1"/>
  <c r="D75" i="5" s="1"/>
  <c r="D90" i="5" a="1"/>
  <c r="D90" i="5" s="1"/>
  <c r="D82" i="5" a="1"/>
  <c r="D82" i="5" s="1"/>
  <c r="D89" i="5" a="1"/>
  <c r="D89" i="5" s="1"/>
  <c r="D81" i="5" a="1"/>
  <c r="D81" i="5" s="1"/>
  <c r="D73" i="5" a="1"/>
  <c r="D73" i="5" s="1"/>
  <c r="D80" i="5" a="1"/>
  <c r="D80" i="5" s="1"/>
  <c r="D88" i="5" a="1"/>
  <c r="D88" i="5" s="1"/>
  <c r="D87" i="5" a="1"/>
  <c r="D87" i="5" s="1"/>
  <c r="D79" i="5" a="1"/>
  <c r="D79" i="5" s="1"/>
  <c r="D71" i="5" a="1"/>
  <c r="D71" i="5" s="1"/>
  <c r="D86" i="5" a="1"/>
  <c r="D86" i="5" s="1"/>
  <c r="D78" i="5" a="1"/>
  <c r="D78" i="5" s="1"/>
  <c r="D70" i="5" a="1"/>
  <c r="D70" i="5" s="1"/>
  <c r="D85" i="5" a="1"/>
  <c r="D85" i="5" s="1"/>
  <c r="D77" i="5" a="1"/>
  <c r="D77" i="5" s="1"/>
  <c r="D72" i="5" a="1"/>
  <c r="D72" i="5" s="1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D67" i="5" a="1"/>
  <c r="D67" i="5" s="1"/>
  <c r="D66" i="5" a="1"/>
  <c r="D66" i="5" s="1"/>
  <c r="D65" i="5" a="1"/>
  <c r="D65" i="5" s="1"/>
  <c r="D64" i="5" a="1"/>
  <c r="D64" i="5" s="1"/>
  <c r="D63" i="5" a="1"/>
  <c r="D63" i="5" s="1"/>
  <c r="D62" i="5" a="1"/>
  <c r="D62" i="5" s="1"/>
  <c r="D68" i="5" a="1"/>
  <c r="D68" i="5" s="1"/>
  <c r="D49" i="5" a="1"/>
  <c r="D69" i="5" a="1"/>
  <c r="D69" i="5" s="1"/>
  <c r="D60" i="5" a="1"/>
  <c r="D60" i="5" s="1"/>
  <c r="D61" i="5" a="1"/>
  <c r="D61" i="5" s="1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H30" i="5" l="1"/>
  <c r="H139" i="5" s="1"/>
  <c r="AC97" i="3"/>
  <c r="D50" i="5"/>
  <c r="D54" i="5"/>
  <c r="D53" i="5"/>
  <c r="D56" i="5"/>
  <c r="D52" i="5"/>
  <c r="D59" i="5"/>
  <c r="D51" i="5"/>
  <c r="D55" i="5"/>
  <c r="D57" i="5"/>
  <c r="D49" i="5"/>
  <c r="D58" i="5"/>
  <c r="C49" i="5" l="1"/>
  <c r="C81" i="5" a="1"/>
  <c r="C81" i="5" s="1"/>
  <c r="C82" i="5" a="1"/>
  <c r="C82" i="5" s="1"/>
  <c r="C78" i="5" a="1"/>
  <c r="C78" i="5" s="1"/>
  <c r="C91" i="5" a="1"/>
  <c r="C91" i="5" s="1"/>
  <c r="C84" i="5" a="1"/>
  <c r="C84" i="5" s="1"/>
  <c r="C90" i="5" a="1"/>
  <c r="C90" i="5" s="1"/>
  <c r="C75" i="5" a="1"/>
  <c r="C75" i="5" s="1"/>
  <c r="C89" i="5" a="1"/>
  <c r="C89" i="5" s="1"/>
  <c r="C85" i="5" a="1"/>
  <c r="C85" i="5" s="1"/>
  <c r="C87" i="5" a="1"/>
  <c r="C87" i="5" s="1"/>
  <c r="C50" i="5" a="1"/>
  <c r="C50" i="5" s="1"/>
  <c r="C86" i="5" a="1"/>
  <c r="C86" i="5" s="1"/>
  <c r="C74" i="5" a="1"/>
  <c r="C74" i="5" s="1"/>
  <c r="C83" i="5" a="1"/>
  <c r="C83" i="5" s="1"/>
  <c r="C79" i="5" a="1"/>
  <c r="C79" i="5" s="1"/>
  <c r="C92" i="5" a="1"/>
  <c r="C92" i="5" s="1"/>
  <c r="B92" i="5" s="1"/>
  <c r="C76" i="5" a="1"/>
  <c r="C76" i="5" s="1"/>
  <c r="C88" i="5" a="1"/>
  <c r="C88" i="5" s="1"/>
  <c r="AC102" i="3"/>
  <c r="C42" i="2"/>
  <c r="H36" i="2"/>
  <c r="H35" i="2"/>
  <c r="H34" i="2"/>
  <c r="H33" i="2"/>
  <c r="H26" i="2"/>
  <c r="H25" i="2"/>
  <c r="H24" i="2"/>
  <c r="H23" i="2"/>
  <c r="H22" i="2"/>
  <c r="H21" i="2"/>
  <c r="B91" i="5" l="1"/>
  <c r="C51" i="5" a="1"/>
  <c r="C51" i="5" s="1"/>
  <c r="B81" i="5"/>
  <c r="B82" i="5"/>
  <c r="B87" i="5"/>
  <c r="B88" i="5"/>
  <c r="B85" i="5"/>
  <c r="B90" i="5"/>
  <c r="B83" i="5"/>
  <c r="B84" i="5"/>
  <c r="B86" i="5"/>
  <c r="B89" i="5"/>
  <c r="AC120" i="3"/>
  <c r="C52" i="5" l="1" a="1"/>
  <c r="C52" i="5" s="1"/>
  <c r="C53" i="5" s="1" a="1"/>
  <c r="C53" i="5" s="1"/>
  <c r="AC124" i="3"/>
  <c r="C54" i="5" l="1" a="1"/>
  <c r="C54" i="5" s="1"/>
  <c r="AC130" i="3"/>
  <c r="C151" i="5"/>
  <c r="C55" i="5" l="1" a="1"/>
  <c r="C55" i="5" s="1"/>
  <c r="AC133" i="3"/>
  <c r="C56" i="5" l="1" a="1"/>
  <c r="C56" i="5" s="1"/>
  <c r="AC134" i="3"/>
  <c r="C57" i="5" l="1" a="1"/>
  <c r="C57" i="5" s="1"/>
  <c r="C58" i="5" s="1" a="1"/>
  <c r="C58" i="5" s="1"/>
  <c r="C59" i="5" s="1" a="1"/>
  <c r="C59" i="5" s="1"/>
  <c r="C60" i="5" s="1" a="1"/>
  <c r="C60" i="5" s="1"/>
  <c r="AC135" i="3"/>
  <c r="C61" i="5" l="1" a="1"/>
  <c r="C61" i="5" s="1"/>
  <c r="C62" i="5" s="1" a="1"/>
  <c r="C62" i="5" s="1"/>
  <c r="AC137" i="3"/>
  <c r="C63" i="5" l="1" a="1"/>
  <c r="C63" i="5" s="1"/>
  <c r="C64" i="5" s="1" a="1"/>
  <c r="C64" i="5" s="1"/>
  <c r="C65" i="5" s="1" a="1"/>
  <c r="C65" i="5" s="1"/>
  <c r="AC138" i="3"/>
  <c r="AC141" i="3"/>
  <c r="C66" i="5" l="1" a="1"/>
  <c r="C66" i="5" s="1"/>
  <c r="C67" i="5" s="1" a="1"/>
  <c r="C67" i="5" s="1"/>
  <c r="C68" i="5" s="1" a="1"/>
  <c r="C68" i="5" s="1"/>
  <c r="C69" i="5" s="1" a="1"/>
  <c r="C69" i="5" s="1"/>
  <c r="AC145" i="3"/>
  <c r="AC201" i="3" s="1"/>
  <c r="B55" i="2"/>
  <c r="C70" i="5" l="1" a="1"/>
  <c r="C70" i="5" s="1"/>
  <c r="C71" i="5" s="1" a="1"/>
  <c r="C71" i="5" s="1"/>
  <c r="AC158" i="3"/>
  <c r="C72" i="5" l="1" a="1"/>
  <c r="C72" i="5" s="1"/>
  <c r="C73" i="5" s="1" a="1"/>
  <c r="C73" i="5" s="1"/>
  <c r="AC170" i="3"/>
  <c r="E38" i="4"/>
  <c r="C77" i="5" l="1" a="1"/>
  <c r="C77" i="5" s="1"/>
  <c r="AC179" i="3"/>
  <c r="D113" i="3"/>
  <c r="C80" i="5" l="1" a="1"/>
  <c r="C80" i="5" s="1"/>
  <c r="B62" i="5" s="1"/>
  <c r="AC182" i="3"/>
  <c r="D98" i="3"/>
  <c r="B67" i="5" l="1"/>
  <c r="B53" i="5"/>
  <c r="B65" i="5"/>
  <c r="B71" i="5"/>
  <c r="B77" i="5"/>
  <c r="B69" i="5"/>
  <c r="B76" i="5"/>
  <c r="B72" i="5"/>
  <c r="B75" i="5"/>
  <c r="B70" i="5"/>
  <c r="B51" i="5"/>
  <c r="B74" i="5"/>
  <c r="B73" i="5"/>
  <c r="B50" i="5"/>
  <c r="B80" i="5"/>
  <c r="B78" i="5"/>
  <c r="B79" i="5"/>
  <c r="B61" i="5"/>
  <c r="B49" i="5"/>
  <c r="B56" i="5"/>
  <c r="B64" i="5"/>
  <c r="B58" i="5"/>
  <c r="B68" i="5"/>
  <c r="B66" i="5"/>
  <c r="B55" i="5"/>
  <c r="B60" i="5"/>
  <c r="B63" i="5"/>
  <c r="B57" i="5"/>
  <c r="B54" i="5"/>
  <c r="B59" i="5"/>
  <c r="B52" i="5"/>
  <c r="O15" i="2"/>
  <c r="D32" i="8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M26" i="2"/>
  <c r="F9" i="2" s="1"/>
  <c r="M140" i="3"/>
  <c r="B129" i="3"/>
  <c r="D116" i="3"/>
  <c r="F116" i="3"/>
  <c r="B111" i="3"/>
  <c r="L35" i="2"/>
  <c r="E40" i="3" l="1"/>
  <c r="C38" i="3" s="1"/>
  <c r="F46" i="2" s="1"/>
  <c r="F10" i="2"/>
  <c r="M138" i="3"/>
  <c r="M139" i="3"/>
  <c r="M136" i="3"/>
  <c r="M137" i="3"/>
  <c r="M134" i="3"/>
  <c r="M135" i="3"/>
  <c r="AC192" i="3"/>
  <c r="I5" i="2"/>
  <c r="X5" i="2" s="1"/>
  <c r="B40" i="3"/>
  <c r="E39" i="3" l="1"/>
  <c r="E38" i="3" s="1"/>
  <c r="R135" i="3"/>
  <c r="AC199" i="3"/>
  <c r="F11" i="2"/>
  <c r="J8" i="2" s="1"/>
  <c r="F19" i="2" l="1"/>
  <c r="R134" i="3"/>
  <c r="L137" i="3" s="1"/>
  <c r="L135" i="3" s="1"/>
  <c r="M8" i="4"/>
  <c r="AC203" i="3"/>
  <c r="L140" i="3" l="1"/>
  <c r="M15" i="2" s="1"/>
  <c r="B301" i="3"/>
  <c r="E305" i="3"/>
  <c r="D306" i="3"/>
  <c r="B268" i="3"/>
  <c r="F273" i="3" s="1"/>
  <c r="B283" i="3"/>
  <c r="M22" i="4"/>
  <c r="F9" i="4" s="1"/>
  <c r="AC215" i="3"/>
  <c r="C29" i="2" l="1"/>
  <c r="I60" i="2" s="1"/>
  <c r="M20" i="2"/>
  <c r="F12" i="2" s="1"/>
  <c r="F14" i="2" s="1"/>
  <c r="F15" i="2" s="1"/>
  <c r="J9" i="2" s="1"/>
  <c r="E307" i="3"/>
  <c r="M25" i="4" s="1"/>
  <c r="F308" i="3"/>
  <c r="D273" i="3"/>
  <c r="F288" i="3"/>
  <c r="D288" i="3"/>
  <c r="AC219" i="3"/>
  <c r="F13" i="2" l="1"/>
  <c r="M4" i="4"/>
  <c r="I27" i="4" s="1"/>
  <c r="M3" i="4"/>
  <c r="F307" i="3"/>
  <c r="M26" i="4" s="1"/>
  <c r="M7" i="4" s="1"/>
  <c r="G307" i="3"/>
  <c r="M27" i="4" s="1"/>
  <c r="M5" i="4" s="1"/>
  <c r="AC227" i="3"/>
  <c r="H27" i="4" l="1"/>
  <c r="R246" i="3"/>
  <c r="R247" i="3" s="1"/>
  <c r="J27" i="4"/>
  <c r="M10" i="4"/>
  <c r="M11" i="4" s="1"/>
  <c r="E21" i="4"/>
  <c r="D33" i="4"/>
  <c r="B302" i="3"/>
  <c r="E285" i="3"/>
  <c r="E270" i="3"/>
  <c r="AC228" i="3"/>
  <c r="D23" i="4" l="1"/>
  <c r="H20" i="4" s="1"/>
  <c r="C21" i="4"/>
  <c r="R249" i="3" s="1"/>
  <c r="M12" i="4"/>
  <c r="E300" i="3"/>
  <c r="D302" i="3"/>
  <c r="AC250" i="3"/>
  <c r="M9" i="4" l="1"/>
  <c r="I6" i="4"/>
  <c r="F10" i="4"/>
  <c r="E39" i="4" s="1"/>
  <c r="I38" i="4"/>
  <c r="I56" i="4" s="1"/>
  <c r="A300" i="3"/>
  <c r="B300" i="3" s="1"/>
  <c r="E298" i="3" s="1"/>
  <c r="A282" i="3"/>
  <c r="B282" i="3" s="1"/>
  <c r="A267" i="3"/>
  <c r="B267" i="3" s="1"/>
  <c r="M13" i="4"/>
  <c r="F11" i="4" s="1"/>
  <c r="AC258" i="3"/>
  <c r="C256" i="3" l="1"/>
  <c r="AC274" i="3"/>
  <c r="E33" i="6"/>
  <c r="H33" i="6" s="1"/>
  <c r="X33" i="6" s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M9" i="10" l="1"/>
  <c r="I20" i="10" s="1"/>
  <c r="J20" i="10" l="1"/>
  <c r="I50" i="10"/>
  <c r="K161" i="3"/>
  <c r="L161" i="3"/>
  <c r="M161" i="3"/>
  <c r="N161" i="3"/>
  <c r="O161" i="3"/>
  <c r="P161" i="3"/>
  <c r="Q161" i="3"/>
  <c r="R161" i="3"/>
  <c r="S161" i="3"/>
  <c r="M181" i="3"/>
  <c r="N181" i="3"/>
  <c r="O181" i="3"/>
  <c r="P181" i="3"/>
  <c r="O179" i="3" s="1"/>
  <c r="M179" i="3" s="1"/>
  <c r="N16" i="5" s="1"/>
  <c r="Q181" i="3"/>
  <c r="L159" i="3" l="1"/>
  <c r="L167" i="3" l="1"/>
  <c r="B231" i="3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1" i="1" l="1"/>
  <c r="N3" i="1" s="1"/>
  <c r="F206" i="3"/>
  <c r="G205" i="3" s="1"/>
  <c r="N23" i="1" s="1"/>
  <c r="J29" i="1" l="1"/>
  <c r="F205" i="3"/>
  <c r="N22" i="1" s="1"/>
  <c r="I29" i="1" l="1"/>
  <c r="N4" i="1" s="1"/>
  <c r="B130" i="3"/>
  <c r="E128" i="3" s="1"/>
  <c r="E113" i="3"/>
  <c r="E98" i="3"/>
  <c r="K5" i="1" l="1"/>
  <c r="N246" i="3"/>
  <c r="N247" i="3" s="1"/>
  <c r="M237" i="3" s="1"/>
  <c r="B238" i="3"/>
  <c r="C240" i="3" s="1"/>
  <c r="H33" i="3"/>
  <c r="H34" i="3" s="1"/>
  <c r="F41" i="1" s="1"/>
  <c r="M233" i="3" l="1"/>
  <c r="M239" i="3"/>
  <c r="M238" i="3"/>
  <c r="M236" i="3"/>
  <c r="M241" i="3"/>
  <c r="M240" i="3"/>
  <c r="M234" i="3"/>
  <c r="M235" i="3"/>
  <c r="M242" i="3"/>
  <c r="H240" i="3"/>
  <c r="E240" i="3"/>
  <c r="D240" i="3"/>
  <c r="G240" i="3"/>
  <c r="F240" i="3"/>
  <c r="N248" i="3" l="1"/>
  <c r="D46" i="1" s="1"/>
  <c r="R248" i="3"/>
  <c r="T248" i="3" s="1"/>
  <c r="F45" i="4" s="1"/>
  <c r="F238" i="3"/>
  <c r="D238" i="3" s="1"/>
  <c r="N24" i="1" l="1"/>
  <c r="N5" i="1" s="1"/>
  <c r="N250" i="3"/>
  <c r="O250" i="3"/>
  <c r="O248" i="3"/>
  <c r="E46" i="1" s="1"/>
  <c r="P250" i="3"/>
  <c r="P248" i="3"/>
  <c r="F46" i="1" s="1"/>
  <c r="S250" i="3"/>
  <c r="R250" i="3"/>
  <c r="D45" i="4"/>
  <c r="S248" i="3"/>
  <c r="E45" i="4" s="1"/>
  <c r="T250" i="3"/>
  <c r="K4" i="1" l="1"/>
  <c r="F23" i="1"/>
  <c r="R252" i="3"/>
  <c r="R255" i="3" s="1"/>
  <c r="R251" i="3"/>
  <c r="R254" i="3" s="1"/>
  <c r="S251" i="3"/>
  <c r="S254" i="3" s="1"/>
  <c r="R253" i="3"/>
  <c r="R256" i="3" s="1"/>
  <c r="B32" i="3"/>
  <c r="D32" i="3" s="1"/>
  <c r="F32" i="3" s="1"/>
  <c r="F21" i="1" l="1"/>
  <c r="N7" i="1"/>
  <c r="G23" i="1"/>
  <c r="E25" i="1"/>
  <c r="D46" i="4"/>
  <c r="T251" i="3"/>
  <c r="T252" i="3" s="1"/>
  <c r="S253" i="3" s="1"/>
  <c r="T253" i="3" s="1"/>
  <c r="B33" i="3"/>
  <c r="C33" i="3" s="1"/>
  <c r="B34" i="3" s="1"/>
  <c r="E20" i="4"/>
  <c r="N10" i="1" l="1"/>
  <c r="G10" i="1" s="1"/>
  <c r="G11" i="1" s="1"/>
  <c r="I21" i="1"/>
  <c r="S252" i="3"/>
  <c r="S255" i="3" s="1"/>
  <c r="S256" i="3"/>
  <c r="H35" i="3"/>
  <c r="G35" i="3" s="1"/>
  <c r="F35" i="3" s="1"/>
  <c r="N6" i="1" s="1"/>
  <c r="N9" i="1" l="1"/>
  <c r="K6" i="1"/>
  <c r="D23" i="1"/>
  <c r="J39" i="1" s="1"/>
  <c r="J58" i="1" s="1"/>
  <c r="R257" i="3"/>
  <c r="I55" i="4" s="1"/>
  <c r="F46" i="4"/>
  <c r="I31" i="3"/>
  <c r="A128" i="3"/>
  <c r="B128" i="3" s="1"/>
  <c r="E126" i="3" s="1"/>
  <c r="A110" i="3"/>
  <c r="B110" i="3" s="1"/>
  <c r="A95" i="3"/>
  <c r="B95" i="3" s="1"/>
  <c r="D35" i="3"/>
  <c r="I37" i="3" s="1"/>
  <c r="N249" i="3" l="1"/>
  <c r="I36" i="3"/>
  <c r="B35" i="3" l="1"/>
  <c r="B36" i="3"/>
  <c r="G37" i="3" s="1"/>
  <c r="N11" i="1" l="1"/>
  <c r="G12" i="1" s="1"/>
  <c r="H10" i="3"/>
  <c r="H11" i="3"/>
  <c r="H5" i="3"/>
  <c r="D30" i="3" l="1"/>
  <c r="G45" i="1" s="1"/>
  <c r="K147" i="3"/>
  <c r="L147" i="3"/>
  <c r="M147" i="3"/>
  <c r="N147" i="3"/>
  <c r="O147" i="3"/>
  <c r="P147" i="3"/>
  <c r="Q147" i="3"/>
  <c r="R147" i="3"/>
  <c r="S147" i="3"/>
  <c r="H30" i="3" l="1"/>
  <c r="C115" i="3" s="1"/>
  <c r="D115" i="3" s="1"/>
  <c r="F30" i="3"/>
  <c r="E122" i="3" s="1"/>
  <c r="G30" i="3"/>
  <c r="B30" i="3" s="1"/>
  <c r="F45" i="1" s="1"/>
  <c r="E30" i="3"/>
  <c r="N142" i="3"/>
  <c r="S144" i="3" s="1"/>
  <c r="Y142" i="3" s="1"/>
  <c r="K146" i="3"/>
  <c r="L146" i="3"/>
  <c r="M146" i="3"/>
  <c r="N146" i="3"/>
  <c r="O146" i="3"/>
  <c r="P146" i="3"/>
  <c r="Q146" i="3"/>
  <c r="R146" i="3"/>
  <c r="S146" i="3"/>
  <c r="H107" i="3" l="1"/>
  <c r="C109" i="3"/>
  <c r="E107" i="3"/>
  <c r="C111" i="3"/>
  <c r="D111" i="3" s="1"/>
  <c r="E111" i="3"/>
  <c r="E109" i="3"/>
  <c r="C107" i="3"/>
  <c r="D109" i="3" s="1"/>
  <c r="D117" i="3" s="1"/>
  <c r="H109" i="3"/>
  <c r="H111" i="3" s="1"/>
  <c r="A122" i="3"/>
  <c r="B122" i="3" s="1"/>
  <c r="E124" i="3"/>
  <c r="C126" i="3"/>
  <c r="D126" i="3" s="1"/>
  <c r="C122" i="3"/>
  <c r="A125" i="3"/>
  <c r="B125" i="3" s="1"/>
  <c r="C124" i="3"/>
  <c r="D124" i="3" s="1"/>
  <c r="C92" i="3"/>
  <c r="A107" i="3"/>
  <c r="B107" i="3" s="1"/>
  <c r="B112" i="3" s="1"/>
  <c r="C100" i="3"/>
  <c r="D100" i="3" s="1"/>
  <c r="A92" i="3"/>
  <c r="B92" i="3" s="1"/>
  <c r="B97" i="3" s="1"/>
  <c r="C94" i="3"/>
  <c r="E94" i="3"/>
  <c r="C96" i="3"/>
  <c r="D96" i="3" s="1"/>
  <c r="E92" i="3"/>
  <c r="E96" i="3"/>
  <c r="E101" i="3" s="1"/>
  <c r="F98" i="3" s="1"/>
  <c r="F109" i="3"/>
  <c r="F128" i="3"/>
  <c r="F111" i="3"/>
  <c r="E116" i="3"/>
  <c r="F113" i="3" s="1"/>
  <c r="O142" i="3"/>
  <c r="S143" i="3" s="1"/>
  <c r="Y143" i="3" s="1"/>
  <c r="P10" i="6" s="1"/>
  <c r="B131" i="3" l="1"/>
  <c r="C131" i="3"/>
  <c r="D128" i="3" s="1"/>
  <c r="D130" i="3" s="1"/>
  <c r="D94" i="3"/>
  <c r="D102" i="3" s="1"/>
  <c r="F94" i="3"/>
  <c r="F96" i="3"/>
  <c r="F102" i="3" s="1"/>
  <c r="G102" i="3" s="1"/>
  <c r="F117" i="3"/>
  <c r="G117" i="3" s="1"/>
  <c r="I117" i="3" s="1"/>
  <c r="H31" i="3" s="1"/>
  <c r="B31" i="3" s="1"/>
  <c r="D131" i="3"/>
  <c r="G131" i="3" s="1"/>
  <c r="F31" i="3" s="1"/>
  <c r="P12" i="6"/>
  <c r="F10" i="6" s="1"/>
  <c r="H102" i="3" l="1"/>
  <c r="G31" i="3" s="1"/>
  <c r="N12" i="1"/>
  <c r="G13" i="1" s="1"/>
  <c r="G14" i="1" s="1"/>
  <c r="E32" i="6"/>
  <c r="E21" i="6" s="1"/>
  <c r="F11" i="6"/>
  <c r="F12" i="6"/>
  <c r="K8" i="6"/>
  <c r="F40" i="1" l="1"/>
  <c r="G16" i="1"/>
  <c r="G17" i="1" s="1"/>
  <c r="K10" i="1" s="1"/>
  <c r="G15" i="1"/>
  <c r="K8" i="1" s="1"/>
  <c r="F13" i="6"/>
  <c r="K9" i="6"/>
  <c r="S20" i="5" l="1"/>
  <c r="S21" i="5"/>
  <c r="S6" i="5" l="1"/>
  <c r="T6" i="5"/>
  <c r="X6" i="5" s="1"/>
  <c r="U6" i="5"/>
  <c r="Y6" i="5" s="1"/>
  <c r="S7" i="5"/>
  <c r="S8" i="5" s="1"/>
  <c r="T7" i="5"/>
  <c r="X7" i="5" s="1"/>
  <c r="U7" i="5" l="1"/>
  <c r="U8" i="5" s="1"/>
  <c r="Y8" i="5" s="1"/>
  <c r="Y7" i="5"/>
  <c r="T8" i="5"/>
  <c r="X8" i="5" s="1"/>
  <c r="D257" i="3" l="1"/>
  <c r="E257" i="3"/>
  <c r="F257" i="3"/>
  <c r="B257" i="3" l="1"/>
  <c r="E266" i="3" l="1"/>
  <c r="E44" i="4"/>
  <c r="A297" i="3"/>
  <c r="B297" i="3" s="1"/>
  <c r="E281" i="3"/>
  <c r="C266" i="3"/>
  <c r="C268" i="3"/>
  <c r="D268" i="3" s="1"/>
  <c r="A294" i="3"/>
  <c r="B294" i="3" s="1"/>
  <c r="E283" i="3"/>
  <c r="E288" i="3" s="1"/>
  <c r="F285" i="3" s="1"/>
  <c r="E279" i="3"/>
  <c r="A279" i="3"/>
  <c r="B279" i="3" s="1"/>
  <c r="B284" i="3" s="1"/>
  <c r="A264" i="3"/>
  <c r="B264" i="3" s="1"/>
  <c r="B269" i="3" s="1"/>
  <c r="C264" i="3"/>
  <c r="E264" i="3"/>
  <c r="C296" i="3"/>
  <c r="C281" i="3"/>
  <c r="C294" i="3"/>
  <c r="C283" i="3"/>
  <c r="D283" i="3" s="1"/>
  <c r="C279" i="3"/>
  <c r="H279" i="3"/>
  <c r="C298" i="3"/>
  <c r="D298" i="3" s="1"/>
  <c r="E296" i="3"/>
  <c r="C287" i="3"/>
  <c r="D287" i="3" s="1"/>
  <c r="H281" i="3"/>
  <c r="E268" i="3"/>
  <c r="F268" i="3" s="1"/>
  <c r="E294" i="3"/>
  <c r="C272" i="3"/>
  <c r="D272" i="3" s="1"/>
  <c r="B303" i="3" l="1"/>
  <c r="C303" i="3"/>
  <c r="D300" i="3" s="1"/>
  <c r="F266" i="3"/>
  <c r="F281" i="3"/>
  <c r="D281" i="3"/>
  <c r="D289" i="3" s="1"/>
  <c r="F283" i="3"/>
  <c r="D266" i="3"/>
  <c r="D274" i="3" s="1"/>
  <c r="D296" i="3"/>
  <c r="D303" i="3" s="1"/>
  <c r="E273" i="3"/>
  <c r="F270" i="3" s="1"/>
  <c r="H283" i="3"/>
  <c r="F300" i="3"/>
  <c r="F274" i="3" l="1"/>
  <c r="G274" i="3" s="1"/>
  <c r="H274" i="3" s="1"/>
  <c r="E258" i="3" s="1"/>
  <c r="F289" i="3"/>
  <c r="G289" i="3" s="1"/>
  <c r="I289" i="3" s="1"/>
  <c r="F258" i="3" s="1"/>
  <c r="G303" i="3"/>
  <c r="D258" i="3" s="1"/>
  <c r="B258" i="3" l="1"/>
  <c r="M14" i="4" s="1"/>
  <c r="F12" i="4" s="1"/>
  <c r="F13" i="4" s="1"/>
  <c r="F15" i="4" s="1"/>
  <c r="F16" i="4" s="1"/>
  <c r="J10" i="4" s="1"/>
  <c r="F14" i="4" l="1"/>
  <c r="J8" i="4" s="1"/>
  <c r="O251" i="3"/>
  <c r="N251" i="3"/>
  <c r="N254" i="3" s="1"/>
  <c r="N252" i="3"/>
  <c r="N255" i="3" s="1"/>
  <c r="N253" i="3"/>
  <c r="N256" i="3" s="1"/>
  <c r="D47" i="1" l="1"/>
  <c r="E47" i="1"/>
  <c r="P251" i="3"/>
  <c r="P252" i="3" s="1"/>
  <c r="O252" i="3" s="1"/>
  <c r="O254" i="3"/>
  <c r="O253" i="3" l="1"/>
  <c r="O256" i="3" s="1"/>
  <c r="O255" i="3"/>
  <c r="N257" i="3" l="1"/>
  <c r="J57" i="1" s="1"/>
  <c r="P253" i="3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J7" i="10"/>
  <c r="J8" i="10"/>
  <c r="F9" i="10"/>
  <c r="F10" i="10"/>
  <c r="F11" i="10"/>
  <c r="F12" i="10"/>
  <c r="K8" i="5"/>
  <c r="K9" i="5"/>
  <c r="F10" i="5"/>
  <c r="F11" i="5"/>
  <c r="F12" i="5"/>
  <c r="F13" i="5"/>
  <c r="N13" i="5"/>
  <c r="N14" i="5"/>
  <c r="N15" i="5"/>
  <c r="N17" i="5"/>
  <c r="N18" i="5"/>
  <c r="H19" i="5"/>
  <c r="N19" i="5"/>
  <c r="N20" i="5"/>
  <c r="E24" i="5"/>
  <c r="N24" i="5"/>
  <c r="N29" i="5"/>
  <c r="E30" i="5"/>
  <c r="F32" i="5"/>
  <c r="F33" i="5"/>
  <c r="J96" i="5"/>
  <c r="J97" i="5"/>
  <c r="J100" i="5"/>
</calcChain>
</file>

<file path=xl/sharedStrings.xml><?xml version="1.0" encoding="utf-8"?>
<sst xmlns="http://schemas.openxmlformats.org/spreadsheetml/2006/main" count="4275" uniqueCount="1308">
  <si>
    <t>Технологическая карта</t>
  </si>
  <si>
    <t>Размеры модели</t>
  </si>
  <si>
    <t>Заказ</t>
  </si>
  <si>
    <t>Наружний диаметр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</si>
  <si>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</si>
  <si>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</si>
  <si>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</si>
  <si>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</si>
  <si>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</si>
  <si>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</si>
  <si>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</si>
  <si>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</si>
  <si>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</si>
  <si>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</si>
  <si>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</si>
  <si>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</si>
  <si>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</si>
  <si>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</si>
  <si>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</si>
  <si>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</si>
  <si>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Масса детали (отливка)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</si>
  <si>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</si>
  <si>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</si>
  <si>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</si>
  <si>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</si>
  <si>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</si>
  <si>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</si>
  <si>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</si>
  <si>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</si>
  <si>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</si>
  <si>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</si>
  <si>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</si>
  <si>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</si>
  <si>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</si>
  <si>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</si>
  <si>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</si>
  <si>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</si>
  <si>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</si>
  <si>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</si>
  <si>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</si>
  <si>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</si>
  <si>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</si>
  <si>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</si>
  <si>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</si>
  <si>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</si>
  <si>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</si>
  <si>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</si>
  <si>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</si>
  <si>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</si>
  <si>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</si>
  <si>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</si>
  <si>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</si>
  <si>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</si>
  <si>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</si>
  <si>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</si>
  <si>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</si>
  <si>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</si>
  <si>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</si>
  <si>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</si>
  <si>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</si>
  <si>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Показания влагомера на глубине 60мм=  0</t>
  </si>
  <si>
    <t>Зазор между стержнем и формой   1,5-2мм</t>
  </si>
  <si>
    <t>Тип литниковой системы</t>
  </si>
  <si>
    <t>Усадка 0,6%</t>
  </si>
  <si>
    <t>Разряд          4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</si>
  <si>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</si>
  <si>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</si>
  <si>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</si>
  <si>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</si>
  <si>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</si>
  <si>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</si>
  <si>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</si>
  <si>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(автоматически)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</si>
  <si>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</si>
  <si>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</si>
  <si>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</si>
  <si>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</si>
  <si>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</si>
  <si>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</si>
  <si>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</si>
  <si>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</si>
  <si>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</si>
  <si>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</si>
  <si>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</si>
  <si>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</si>
  <si>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(Вручную)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</si>
  <si>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</si>
  <si>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</si>
  <si>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</si>
  <si>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</si>
  <si>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</si>
  <si>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</si>
  <si>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</si>
  <si>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</si>
  <si>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</si>
  <si>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</si>
  <si>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</si>
  <si>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</si>
  <si>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</si>
  <si>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</si>
  <si>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</si>
  <si>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</si>
  <si>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</si>
  <si>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</si>
  <si>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</si>
  <si>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</si>
  <si>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</si>
  <si>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</si>
  <si>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</si>
  <si>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</si>
  <si>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</si>
  <si>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</si>
  <si>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</si>
  <si>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</si>
  <si>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</si>
  <si>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</si>
  <si>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</si>
  <si>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</si>
  <si>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</si>
  <si>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</si>
  <si>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</si>
  <si>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</si>
  <si>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</si>
  <si>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</si>
  <si>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</si>
  <si>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</si>
  <si>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</si>
  <si>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</si>
  <si>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</si>
  <si>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</si>
  <si>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</si>
  <si>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</si>
  <si>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</si>
  <si>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</si>
  <si>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</si>
  <si>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</si>
  <si>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</si>
  <si>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</si>
  <si>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</si>
  <si>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</si>
  <si>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</si>
  <si>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</si>
  <si>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</si>
  <si>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</si>
  <si>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</si>
  <si>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</si>
  <si>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</si>
  <si>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</si>
  <si>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</si>
  <si>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</si>
  <si>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</si>
  <si>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</si>
  <si>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</si>
  <si>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</si>
  <si>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</si>
  <si>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</si>
  <si>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</si>
  <si>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</si>
  <si>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</si>
  <si>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</si>
  <si>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</si>
  <si>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</si>
  <si>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</si>
  <si>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</si>
  <si>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</si>
  <si>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</si>
  <si>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</si>
  <si>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</si>
  <si>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</si>
  <si>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</si>
  <si>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</si>
  <si>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</si>
  <si>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</si>
  <si>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</si>
  <si>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</si>
  <si>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</si>
  <si>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</si>
  <si>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</si>
  <si>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</si>
  <si>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</si>
  <si>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</si>
  <si>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</si>
  <si>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</si>
  <si>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</si>
  <si>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</si>
  <si>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</si>
  <si>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</si>
  <si>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</si>
  <si>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</si>
  <si>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</si>
  <si>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</si>
  <si>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</si>
  <si>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</si>
  <si>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</si>
  <si>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</si>
  <si>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</si>
  <si>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</si>
  <si>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</si>
  <si>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</si>
  <si>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</si>
  <si>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</si>
  <si>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</si>
  <si>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</si>
  <si>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</si>
  <si>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</si>
  <si>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</si>
  <si>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</si>
  <si>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</si>
  <si>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</si>
  <si>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</si>
  <si>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</si>
  <si>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</si>
  <si>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</si>
  <si>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</si>
  <si>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</si>
  <si>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</si>
  <si>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</si>
  <si>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</si>
  <si>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</si>
  <si>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</si>
  <si>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</si>
  <si>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</si>
  <si>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</si>
  <si>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</si>
  <si>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</si>
  <si>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</si>
  <si>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</si>
  <si>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</si>
  <si>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</si>
  <si>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</si>
  <si>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</si>
  <si>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</si>
  <si>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</si>
  <si>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</si>
  <si>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</si>
  <si>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</si>
  <si>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</si>
  <si>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</si>
  <si>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</si>
  <si>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</si>
  <si>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</si>
  <si>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</si>
  <si>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</si>
  <si>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</si>
  <si>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</si>
  <si>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</si>
  <si>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</si>
  <si>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</si>
  <si>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</si>
  <si>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</si>
  <si>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</si>
  <si>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</si>
  <si>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</si>
  <si>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</si>
  <si>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</si>
  <si>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</si>
  <si>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</si>
  <si>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</si>
  <si>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</si>
  <si>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</si>
  <si>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</si>
  <si>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</si>
  <si>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</si>
  <si>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</si>
  <si>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</si>
  <si>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</si>
  <si>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</si>
  <si>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</si>
  <si>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</si>
  <si>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</si>
  <si>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</si>
  <si>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</si>
  <si>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</si>
  <si>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</si>
  <si>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</si>
  <si>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</si>
  <si>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</si>
  <si>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</si>
  <si>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</si>
  <si>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</si>
  <si>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</si>
  <si>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</si>
  <si>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</si>
  <si>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</si>
  <si>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</si>
  <si>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</si>
  <si>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</si>
  <si>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</si>
  <si>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</si>
  <si>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</si>
  <si>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</si>
  <si>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</si>
  <si>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</si>
  <si>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</si>
  <si>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</si>
  <si>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</si>
  <si>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</si>
  <si>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</si>
  <si>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</si>
  <si>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</si>
  <si>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</si>
  <si>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</si>
  <si>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</si>
  <si>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</si>
  <si>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Плавка</t>
  </si>
  <si>
    <t>Сборка</t>
  </si>
  <si>
    <t>Заливка</t>
  </si>
  <si>
    <t>Выбивка</t>
  </si>
  <si>
    <t>Обрубка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</si>
  <si>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</si>
  <si>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</si>
  <si>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</si>
  <si>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</si>
  <si>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</si>
  <si>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</si>
  <si>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</si>
  <si>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</si>
  <si>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</si>
  <si>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</si>
  <si>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</si>
  <si>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</si>
  <si>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</si>
  <si>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</si>
  <si>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</si>
  <si>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</si>
  <si>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</si>
  <si>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</si>
  <si>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</si>
  <si>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</si>
  <si>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</si>
  <si>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</si>
  <si>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</si>
  <si>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</si>
  <si>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</si>
  <si>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</si>
  <si>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</si>
  <si>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</si>
  <si>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</si>
  <si>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</si>
  <si>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</si>
  <si>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</si>
  <si>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</si>
  <si>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</si>
  <si>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</si>
  <si>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</si>
  <si>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</si>
  <si>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</si>
  <si>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</si>
  <si>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</si>
  <si>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</si>
  <si>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 xml:space="preserve">Длина общая </t>
  </si>
  <si>
    <t>Высота прибыли= толщина под прибылью*коэф.</t>
  </si>
  <si>
    <t>Масса литниковой сист.</t>
  </si>
  <si>
    <t>d3. приб.</t>
  </si>
  <si>
    <t>Диаметр прибыли (ср.)</t>
  </si>
  <si>
    <t>1: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</si>
  <si>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</si>
  <si>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</si>
  <si>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</si>
  <si>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</si>
  <si>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</si>
  <si>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</si>
  <si>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</si>
  <si>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</si>
  <si>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</si>
  <si>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</si>
  <si>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</si>
  <si>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</si>
  <si>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</si>
  <si>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</si>
  <si>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</si>
  <si>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</si>
  <si>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</si>
  <si>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</si>
  <si>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</si>
  <si>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1275.03.308</t>
  </si>
  <si>
    <t>Радиус скругления прибыли 25</t>
  </si>
  <si>
    <t>прибыль</t>
  </si>
  <si>
    <t>Расчет припусков</t>
  </si>
  <si>
    <t>ряд стенки детали</t>
  </si>
  <si>
    <t>Ø наружный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</si>
  <si>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</si>
  <si>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</si>
  <si>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</si>
  <si>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</si>
  <si>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</si>
  <si>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</si>
  <si>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</si>
  <si>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</si>
  <si>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</si>
  <si>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</si>
  <si>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</si>
  <si>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</si>
  <si>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</si>
  <si>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</si>
  <si>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</si>
  <si>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</si>
  <si>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</si>
  <si>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</si>
  <si>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</si>
  <si>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</si>
  <si>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</si>
  <si>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277-001</t>
  </si>
  <si>
    <t>Нормирование.  (коэффициент)</t>
  </si>
  <si>
    <t>Ф 277-004</t>
  </si>
  <si>
    <t>1275.04.712-1</t>
  </si>
  <si>
    <t>на тонну</t>
  </si>
  <si>
    <t>Согласовано с Колбун Н.Н.  17.11.2023</t>
  </si>
  <si>
    <t>d2(под приб)</t>
  </si>
  <si>
    <t>&lt;&lt; ср.диам.</t>
  </si>
  <si>
    <t>2,5-3,5</t>
  </si>
  <si>
    <t>Норму времени указывать только для формовки.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</si>
  <si>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</si>
  <si>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</si>
  <si>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</si>
  <si>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</si>
  <si>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</si>
  <si>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</si>
  <si>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</si>
  <si>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</si>
  <si>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</si>
  <si>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</si>
  <si>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</si>
  <si>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</si>
  <si>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</si>
  <si>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</si>
  <si>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</si>
  <si>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</si>
  <si>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</si>
  <si>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1:5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</si>
  <si>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</si>
  <si>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</si>
  <si>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</si>
  <si>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</si>
  <si>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</si>
  <si>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</si>
  <si>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</si>
  <si>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</si>
  <si>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</si>
  <si>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</si>
  <si>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</si>
  <si>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</si>
  <si>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</si>
  <si>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</si>
  <si>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</si>
  <si>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</si>
  <si>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</si>
  <si>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</si>
  <si>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</si>
  <si>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</si>
  <si>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</si>
  <si>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</si>
  <si>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</si>
  <si>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</si>
  <si>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</si>
  <si>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</si>
  <si>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</si>
  <si>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</si>
  <si>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</si>
  <si>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</si>
  <si>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</si>
  <si>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</si>
  <si>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</si>
  <si>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</si>
  <si>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</si>
  <si>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</si>
  <si>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</si>
  <si>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</si>
  <si>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</si>
  <si>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</si>
  <si>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</si>
  <si>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</si>
  <si>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</si>
  <si>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</si>
  <si>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</si>
  <si>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</si>
  <si>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</si>
  <si>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</si>
  <si>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</si>
  <si>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</si>
  <si>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</si>
  <si>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</si>
  <si>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</si>
  <si>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</si>
  <si>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</si>
  <si>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</si>
  <si>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</si>
  <si>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</si>
  <si>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</si>
  <si>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</si>
  <si>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</si>
  <si>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</si>
  <si>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</si>
  <si>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</si>
  <si>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</si>
  <si>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</si>
  <si>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</si>
  <si>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</si>
  <si>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</si>
  <si>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</si>
  <si>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</si>
  <si>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</si>
  <si>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</si>
  <si>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</si>
  <si>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</si>
  <si>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</si>
  <si>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</si>
  <si>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</si>
  <si>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</si>
  <si>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</si>
  <si>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</si>
  <si>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</si>
  <si>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</si>
  <si>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</si>
  <si>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</si>
  <si>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</si>
  <si>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</si>
  <si>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</si>
  <si>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</si>
  <si>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</si>
  <si>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</si>
  <si>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</si>
  <si>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</si>
  <si>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</si>
  <si>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</si>
  <si>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</si>
  <si>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</si>
  <si>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</si>
  <si>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</si>
  <si>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</si>
  <si>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</si>
  <si>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</si>
  <si>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</si>
  <si>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</si>
  <si>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</si>
  <si>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</si>
  <si>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</si>
  <si>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</si>
  <si>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</si>
  <si>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</si>
  <si>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</si>
  <si>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</si>
  <si>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</si>
  <si>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</si>
  <si>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</si>
  <si>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</si>
  <si>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</si>
  <si>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</si>
  <si>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</si>
  <si>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</si>
  <si>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</si>
  <si>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</si>
  <si>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</si>
  <si>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</si>
  <si>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</si>
  <si>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</si>
  <si>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</si>
  <si>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</si>
  <si>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</si>
  <si>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</si>
  <si>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</si>
  <si>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</si>
  <si>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</si>
  <si>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</si>
  <si>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</si>
  <si>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</si>
  <si>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</si>
  <si>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</si>
  <si>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</si>
  <si>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</si>
  <si>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</si>
  <si>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</si>
  <si>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</si>
  <si>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</si>
  <si>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</si>
  <si>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</si>
  <si>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</si>
  <si>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</si>
  <si>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</si>
  <si>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</si>
  <si>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</si>
  <si>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</si>
  <si>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</si>
  <si>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</si>
  <si>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</si>
  <si>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</si>
  <si>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</si>
  <si>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</si>
  <si>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</si>
  <si>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</si>
  <si>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</si>
  <si>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</si>
  <si>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</si>
  <si>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</si>
  <si>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</si>
  <si>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</si>
  <si>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</si>
  <si>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</si>
  <si>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</si>
  <si>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</si>
  <si>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</si>
  <si>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</si>
  <si>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</si>
  <si>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</si>
  <si>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</si>
  <si>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</si>
  <si>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</si>
  <si>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</si>
  <si>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</si>
  <si>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</si>
  <si>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</si>
  <si>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</si>
  <si>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</si>
  <si>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</si>
  <si>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</si>
  <si>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</si>
  <si>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</si>
  <si>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</si>
  <si>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</si>
  <si>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</si>
  <si>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</si>
  <si>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</si>
  <si>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</si>
  <si>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</si>
  <si>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</si>
  <si>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</si>
  <si>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</si>
  <si>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</si>
  <si>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</si>
  <si>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</si>
  <si>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</si>
  <si>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</si>
  <si>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</si>
  <si>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</si>
  <si>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</si>
  <si>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</si>
  <si>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</si>
  <si>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</si>
  <si>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</si>
  <si>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</si>
  <si>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</si>
  <si>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</si>
  <si>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</si>
  <si>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</si>
  <si>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</si>
  <si>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</si>
  <si>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</si>
  <si>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</si>
  <si>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</si>
  <si>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</si>
  <si>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</si>
  <si>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</si>
  <si>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 xml:space="preserve">модель: </t>
  </si>
  <si>
    <t>Диаметр у крышки</t>
  </si>
  <si>
    <t>Диаметр с уклоном ср.</t>
  </si>
  <si>
    <t>БрО6Ц6С3</t>
  </si>
  <si>
    <t>БрА10Ж3Мц2     иногда стандартного захвата</t>
  </si>
  <si>
    <t xml:space="preserve">            не хватает  -  ставить 55 мм.</t>
  </si>
  <si>
    <t xml:space="preserve"> (дата)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</si>
  <si>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</si>
  <si>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</si>
  <si>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</si>
  <si>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</si>
  <si>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</si>
  <si>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</si>
  <si>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</si>
  <si>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</si>
  <si>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</si>
  <si>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</si>
  <si>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</si>
  <si>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</si>
  <si>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</si>
  <si>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</si>
  <si>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</si>
  <si>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</si>
  <si>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</si>
  <si>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</si>
  <si>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</si>
  <si>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</si>
  <si>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</si>
  <si>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</si>
  <si>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</si>
  <si>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</si>
  <si>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</si>
  <si>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</si>
  <si>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</si>
  <si>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</si>
  <si>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</si>
  <si>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</si>
  <si>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</si>
  <si>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</si>
  <si>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</si>
  <si>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</si>
  <si>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</si>
  <si>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</si>
  <si>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</si>
  <si>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</si>
  <si>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</si>
  <si>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</si>
  <si>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</si>
  <si>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</si>
  <si>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</si>
  <si>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</si>
  <si>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</si>
  <si>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</si>
  <si>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</si>
  <si>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</si>
  <si>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</si>
  <si>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</si>
  <si>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</si>
  <si>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</si>
  <si>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</si>
  <si>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</si>
  <si>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</si>
  <si>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</si>
  <si>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</si>
  <si>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</si>
  <si>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</si>
  <si>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</si>
  <si>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</si>
  <si>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</si>
  <si>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</si>
  <si>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</si>
  <si>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</si>
  <si>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</si>
  <si>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</si>
  <si>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</si>
  <si>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</si>
  <si>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</si>
  <si>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</si>
  <si>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</si>
  <si>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</si>
  <si>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</si>
  <si>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</si>
  <si>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</si>
  <si>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</si>
  <si>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</si>
  <si>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</si>
  <si>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</si>
  <si>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</si>
  <si>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</si>
  <si>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</si>
  <si>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</si>
  <si>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</si>
  <si>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</si>
  <si>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</si>
  <si>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</si>
  <si>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</si>
  <si>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</si>
  <si>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</si>
  <si>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</si>
  <si>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</si>
  <si>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</si>
  <si>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</si>
  <si>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</si>
  <si>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Коэф. высоты прибыли втулок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</si>
  <si>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</si>
  <si>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</si>
  <si>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</si>
  <si>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</si>
  <si>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</si>
  <si>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</si>
  <si>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</si>
  <si>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</si>
  <si>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</si>
  <si>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</si>
  <si>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</si>
  <si>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</si>
  <si>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</si>
  <si>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</si>
  <si>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</si>
  <si>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</si>
  <si>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</si>
  <si>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</si>
  <si>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</si>
  <si>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</si>
  <si>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</si>
  <si>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</si>
  <si>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</si>
  <si>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</si>
  <si>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</si>
  <si>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</si>
  <si>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</si>
  <si>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</si>
  <si>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</si>
  <si>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</si>
  <si>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</si>
  <si>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5-5-5</t>
  </si>
  <si>
    <t>*Модель*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</si>
  <si>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</si>
  <si>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</si>
  <si>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</si>
  <si>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</si>
  <si>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</si>
  <si>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</si>
  <si>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</si>
  <si>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</si>
  <si>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Литниковая система:</t>
  </si>
  <si>
    <t>(1 щель)</t>
  </si>
  <si>
    <t>242.04.462 - 1</t>
  </si>
  <si>
    <t>№№</t>
  </si>
  <si>
    <t>21 а</t>
  </si>
  <si>
    <t>Кокиль №</t>
  </si>
  <si>
    <t>Прибыль</t>
  </si>
  <si>
    <t>Состояние оснастки</t>
  </si>
  <si>
    <t>2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</si>
  <si>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</si>
  <si>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</si>
  <si>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</si>
  <si>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</si>
  <si>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</si>
  <si>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</si>
  <si>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</si>
  <si>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</si>
  <si>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</si>
  <si>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</si>
  <si>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</si>
  <si>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</si>
  <si>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</si>
  <si>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</si>
  <si>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</si>
  <si>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</si>
  <si>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</si>
  <si>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</si>
  <si>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</si>
  <si>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</si>
  <si>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</si>
  <si>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</si>
  <si>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</si>
  <si>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</si>
  <si>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</si>
  <si>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</si>
  <si>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</si>
  <si>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</si>
  <si>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</si>
  <si>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</si>
  <si>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</si>
  <si>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</si>
  <si>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</si>
  <si>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</si>
  <si>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</si>
  <si>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</si>
  <si>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</si>
  <si>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</si>
  <si>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</si>
  <si>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</si>
  <si>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</si>
  <si>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</si>
  <si>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</si>
  <si>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</si>
  <si>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</si>
  <si>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</si>
  <si>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</si>
  <si>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</si>
  <si>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</si>
  <si>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</si>
  <si>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</si>
  <si>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</si>
  <si>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</si>
  <si>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</si>
  <si>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</si>
  <si>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</si>
  <si>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</si>
  <si>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</si>
  <si>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</si>
  <si>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</si>
  <si>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</si>
  <si>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</si>
  <si>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</si>
  <si>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</si>
  <si>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</si>
  <si>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</si>
  <si>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</si>
  <si>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</si>
  <si>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</si>
  <si>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</si>
  <si>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</si>
  <si>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</si>
  <si>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</si>
  <si>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</si>
  <si>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</si>
  <si>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</si>
  <si>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</si>
  <si>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</si>
  <si>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</si>
  <si>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</si>
  <si>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</si>
  <si>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</si>
  <si>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</si>
  <si>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</si>
  <si>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</si>
  <si>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</si>
  <si>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</si>
  <si>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</si>
  <si>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</si>
  <si>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</si>
  <si>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</si>
  <si>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</si>
  <si>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</si>
  <si>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</si>
  <si>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</si>
  <si>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</si>
  <si>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</si>
  <si>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</si>
  <si>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</si>
  <si>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</si>
  <si>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</si>
  <si>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</si>
  <si>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</si>
  <si>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</si>
  <si>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</si>
  <si>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</si>
  <si>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</si>
  <si>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</si>
  <si>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</si>
  <si>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</si>
  <si>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</si>
  <si>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</si>
  <si>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</si>
  <si>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</si>
  <si>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</si>
  <si>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</si>
  <si>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</si>
  <si>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</si>
  <si>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</si>
  <si>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</si>
  <si>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</si>
  <si>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</si>
  <si>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</si>
  <si>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</si>
  <si>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</si>
  <si>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</si>
  <si>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</si>
  <si>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</si>
  <si>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</si>
  <si>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</si>
  <si>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</si>
  <si>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</si>
  <si>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</si>
  <si>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</si>
  <si>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</si>
  <si>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</si>
  <si>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</si>
  <si>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</si>
  <si>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</si>
  <si>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</si>
  <si>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</si>
  <si>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344197-002</t>
  </si>
  <si>
    <t>( 495,5 )</t>
  </si>
  <si>
    <t xml:space="preserve">      ( 466 )</t>
  </si>
  <si>
    <t>Втулка коническая</t>
  </si>
  <si>
    <t>2102.67.2.00-003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</si>
  <si>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</si>
  <si>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</si>
  <si>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</si>
  <si>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</si>
  <si>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</si>
  <si>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</si>
  <si>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</si>
  <si>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</si>
  <si>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</si>
  <si>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</si>
  <si>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</si>
  <si>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</si>
  <si>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</si>
  <si>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</si>
  <si>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</si>
  <si>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</si>
  <si>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</si>
  <si>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</si>
  <si>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</si>
  <si>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</si>
  <si>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</si>
  <si>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</si>
  <si>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</si>
  <si>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</si>
  <si>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</si>
  <si>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</si>
  <si>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</si>
  <si>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</si>
  <si>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</si>
  <si>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</si>
  <si>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</si>
  <si>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</si>
  <si>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</si>
  <si>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</si>
  <si>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</si>
  <si>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</si>
  <si>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</si>
  <si>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</si>
  <si>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</si>
  <si>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</si>
  <si>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</si>
  <si>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</si>
  <si>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</si>
  <si>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</si>
  <si>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</si>
  <si>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</si>
  <si>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</si>
  <si>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</si>
  <si>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</si>
  <si>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</si>
  <si>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</si>
  <si>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</si>
  <si>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</si>
  <si>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</si>
  <si>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 xml:space="preserve">низ, наружные </t>
  </si>
  <si>
    <t>Рез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</si>
  <si>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</si>
  <si>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</si>
  <si>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</si>
  <si>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</si>
  <si>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</si>
  <si>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</si>
  <si>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</si>
  <si>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</si>
  <si>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</si>
  <si>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</si>
  <si>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</si>
  <si>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</si>
  <si>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</si>
  <si>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</si>
  <si>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</si>
  <si>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</si>
  <si>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</si>
  <si>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</si>
  <si>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</si>
  <si>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</si>
  <si>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</si>
  <si>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</si>
  <si>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</si>
  <si>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</si>
  <si>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</si>
  <si>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</si>
  <si>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</si>
  <si>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</si>
  <si>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</si>
  <si>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Для БрО8С12 (21)</t>
  </si>
  <si>
    <t>Расход</t>
  </si>
  <si>
    <t>344386-003</t>
  </si>
  <si>
    <t>ЦТП 06.12826.00.00.000</t>
  </si>
  <si>
    <t>Заготовка вкладыша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</si>
  <si>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</si>
  <si>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</si>
  <si>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</si>
  <si>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</si>
  <si>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</si>
  <si>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</si>
  <si>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</si>
  <si>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</si>
  <si>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</si>
  <si>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</si>
  <si>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</si>
  <si>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</si>
  <si>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</si>
  <si>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</si>
  <si>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</si>
  <si>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</si>
  <si>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</si>
  <si>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</si>
  <si>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</si>
  <si>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</si>
  <si>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</si>
  <si>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</si>
  <si>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</si>
  <si>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</si>
  <si>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</si>
  <si>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</si>
  <si>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</si>
  <si>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</si>
  <si>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</si>
  <si>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</si>
  <si>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</si>
  <si>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</si>
  <si>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</si>
  <si>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</si>
  <si>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</si>
  <si>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</si>
  <si>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</si>
  <si>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</si>
  <si>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</si>
  <si>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</si>
  <si>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</si>
  <si>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</si>
  <si>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</si>
  <si>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</si>
  <si>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</si>
  <si>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</si>
  <si>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</si>
  <si>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</si>
  <si>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</si>
  <si>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</si>
  <si>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</si>
  <si>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</si>
  <si>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</si>
  <si>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</si>
  <si>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</si>
  <si>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</si>
  <si>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</si>
  <si>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</si>
  <si>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</si>
  <si>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Наружний диаметр Д1</t>
  </si>
  <si>
    <t>Внутренний диаметр Д2</t>
  </si>
  <si>
    <t>Наружний диаметр Д3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</si>
  <si>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</si>
  <si>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</si>
  <si>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</si>
  <si>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</si>
  <si>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</si>
  <si>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</si>
  <si>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</si>
  <si>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</si>
  <si>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</si>
  <si>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</si>
  <si>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</si>
  <si>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</si>
  <si>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</si>
  <si>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</si>
  <si>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</si>
  <si>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</si>
  <si>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</si>
  <si>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</si>
  <si>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</si>
  <si>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</si>
  <si>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</si>
  <si>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</si>
  <si>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</si>
  <si>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</si>
  <si>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</si>
  <si>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</si>
  <si>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</si>
  <si>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</si>
  <si>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заготовки: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</si>
  <si>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</si>
  <si>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</si>
  <si>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</si>
  <si>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</si>
  <si>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</si>
  <si>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</si>
  <si>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</si>
  <si>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</si>
  <si>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Высота надставки,  мм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</si>
  <si>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</si>
  <si>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</si>
  <si>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</si>
  <si>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</si>
  <si>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</si>
  <si>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</si>
  <si>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</si>
  <si>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</si>
  <si>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</si>
  <si>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</si>
  <si>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</si>
  <si>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</si>
  <si>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</si>
  <si>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344480-004</t>
  </si>
  <si>
    <t>2701.35.09-1</t>
  </si>
  <si>
    <t>БрАЖ9-4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</si>
  <si>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</si>
  <si>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</si>
  <si>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</si>
  <si>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</si>
  <si>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</si>
  <si>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</si>
  <si>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</si>
  <si>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</si>
  <si>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</si>
  <si>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</si>
  <si>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Ф277-003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</si>
  <si>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</si>
  <si>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</si>
  <si>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</si>
  <si>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</si>
  <si>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</si>
  <si>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</si>
  <si>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</si>
  <si>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</si>
  <si>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</si>
  <si>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</si>
  <si>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</si>
  <si>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</si>
  <si>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</si>
  <si>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</si>
  <si>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</si>
  <si>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</si>
  <si>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</si>
  <si>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</si>
  <si>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</si>
  <si>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</si>
  <si>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</si>
  <si>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</si>
  <si>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</si>
  <si>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</si>
  <si>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</si>
  <si>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</si>
  <si>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</si>
  <si>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</si>
  <si>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</si>
  <si>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</si>
  <si>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</si>
  <si>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</si>
  <si>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     1:5</t>
  </si>
  <si>
    <t xml:space="preserve">Половина </t>
  </si>
  <si>
    <t>1/2 прибыли</t>
  </si>
  <si>
    <t>344560-004</t>
  </si>
  <si>
    <t>1239.02.402</t>
  </si>
  <si>
    <t>Втулка передняя</t>
  </si>
  <si>
    <t>ср шир планки</t>
  </si>
  <si>
    <t>Планка</t>
  </si>
  <si>
    <t>344569-004</t>
  </si>
  <si>
    <t>84х85х105</t>
  </si>
  <si>
    <t>кол-во в отливке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</si>
  <si>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</si>
  <si>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</si>
  <si>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</si>
  <si>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</si>
  <si>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</si>
  <si>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</si>
  <si>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</si>
  <si>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</si>
  <si>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</si>
  <si>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</si>
  <si>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</si>
  <si>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</si>
  <si>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</si>
  <si>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</si>
  <si>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</si>
  <si>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</si>
  <si>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</si>
  <si>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</si>
  <si>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</si>
  <si>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</si>
  <si>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</si>
  <si>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</si>
  <si>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</si>
  <si>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</si>
  <si>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</si>
  <si>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</si>
  <si>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</si>
  <si>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</si>
  <si>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</si>
  <si>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</si>
  <si>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</si>
  <si>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</si>
  <si>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</si>
  <si>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</si>
  <si>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</si>
  <si>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</si>
  <si>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</si>
  <si>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</si>
  <si>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</si>
  <si>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Припуски на М/О буртовых втулок ручной формовке:</t>
  </si>
  <si>
    <t>344605-005</t>
  </si>
  <si>
    <t>1249.01.117</t>
  </si>
  <si>
    <t>344607-005</t>
  </si>
  <si>
    <t>ПГС-13415.14.201А-Д1</t>
  </si>
  <si>
    <t>Полувтулка</t>
  </si>
  <si>
    <t>компл.</t>
  </si>
  <si>
    <t>по диаметру</t>
  </si>
  <si>
    <t>Ø 408</t>
  </si>
  <si>
    <t>( 380 )</t>
  </si>
  <si>
    <t>Ø 300</t>
  </si>
  <si>
    <t>( 330 )</t>
  </si>
  <si>
    <t>( 420 )</t>
  </si>
  <si>
    <t>344609-005</t>
  </si>
  <si>
    <t>Количество деталей по диаметру</t>
  </si>
  <si>
    <t>1050-1090 ° C</t>
  </si>
  <si>
    <t>140х70х155</t>
  </si>
  <si>
    <t>5</t>
  </si>
  <si>
    <t>122х78х210</t>
  </si>
  <si>
    <t>344612-005</t>
  </si>
  <si>
    <t>Т1-626-4</t>
  </si>
  <si>
    <t>Модель увеличить по высоте на 50 мм.</t>
  </si>
  <si>
    <t>40</t>
  </si>
  <si>
    <t xml:space="preserve">Ø  </t>
  </si>
  <si>
    <t>ОПОКИ:</t>
  </si>
  <si>
    <t>для планок  "Дверь"</t>
  </si>
  <si>
    <t>выс.прибыли:</t>
  </si>
  <si>
    <t>Нормировик</t>
  </si>
  <si>
    <t>6 6 7</t>
  </si>
  <si>
    <t>8 8 8</t>
  </si>
  <si>
    <t>9 9 9</t>
  </si>
  <si>
    <t xml:space="preserve">9 9 9 </t>
  </si>
  <si>
    <t>знак</t>
  </si>
  <si>
    <t>тело</t>
  </si>
  <si>
    <t>приб</t>
  </si>
  <si>
    <t>Вес земли в стержне</t>
  </si>
  <si>
    <t>725х645х165 / 735х645х175</t>
  </si>
  <si>
    <t>Совместно</t>
  </si>
  <si>
    <t>344619-005</t>
  </si>
  <si>
    <t>ООО "Урал-литьё"</t>
  </si>
  <si>
    <t>1 / 1</t>
  </si>
  <si>
    <t>Диаметр надставки № , мм</t>
  </si>
  <si>
    <t>К.В.Т.</t>
  </si>
  <si>
    <t>Чертёж</t>
  </si>
  <si>
    <t>Ст. ящик:</t>
  </si>
  <si>
    <t>Транспортировка по инструкции:</t>
  </si>
  <si>
    <t>0,6%</t>
  </si>
  <si>
    <t>Показания влагомера на глубине 60мм =  0</t>
  </si>
  <si>
    <t>Сетка</t>
  </si>
  <si>
    <t>Наружный диаметр</t>
  </si>
  <si>
    <t>Диаметр прибыли (средний)</t>
  </si>
  <si>
    <t>Захват</t>
  </si>
  <si>
    <t>Протянуть модель</t>
  </si>
  <si>
    <t>Нашить модель</t>
  </si>
  <si>
    <t>авы</t>
  </si>
  <si>
    <t>ка</t>
  </si>
  <si>
    <t>кер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</si>
</sst>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  <numFmt numFmtId="169" formatCode="0.0%"/>
  </numFmts>
  <fonts count="13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sz val="16"/>
      <color rgb="FF000000"/>
      <name val="Calibri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2929"/>
        <bgColor indexed="64"/>
      </patternFill>
    </fill>
  </fills>
  <borders count="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87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0" fillId="0" borderId="0" xfId="0" applyFont="1"/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35" fillId="0" borderId="2" xfId="0" applyFont="1" applyBorder="1"/>
    <xf numFmtId="0" fontId="35" fillId="0" borderId="3" xfId="0" applyFont="1" applyBorder="1"/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12" xfId="0" applyNumberFormat="1" applyBorder="1" applyAlignment="1">
      <alignment horizontal="lef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14" fontId="0" fillId="0" borderId="0" xfId="0" applyNumberForma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0" fillId="13" borderId="0" xfId="0" applyFill="1"/>
    <xf numFmtId="0" fontId="9" fillId="3" borderId="13" xfId="0" applyFont="1" applyFill="1" applyBorder="1"/>
    <xf numFmtId="0" fontId="12" fillId="3" borderId="37" xfId="0" applyFont="1" applyFill="1" applyBorder="1"/>
    <xf numFmtId="0" fontId="6" fillId="7" borderId="38" xfId="0" applyFont="1" applyFill="1" applyBorder="1"/>
    <xf numFmtId="0" fontId="29" fillId="5" borderId="13" xfId="0" applyFont="1" applyFill="1" applyBorder="1"/>
    <xf numFmtId="0" fontId="31" fillId="5" borderId="13" xfId="0" applyFont="1" applyFill="1" applyBorder="1"/>
    <xf numFmtId="0" fontId="13" fillId="5" borderId="12" xfId="0" applyFont="1" applyFill="1" applyBorder="1"/>
    <xf numFmtId="0" fontId="31" fillId="5" borderId="39" xfId="0" applyFont="1" applyFill="1" applyBorder="1"/>
    <xf numFmtId="0" fontId="12" fillId="7" borderId="39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right"/>
    </xf>
    <xf numFmtId="0" fontId="20" fillId="5" borderId="5" xfId="0" applyFont="1" applyFill="1" applyBorder="1"/>
    <xf numFmtId="0" fontId="42" fillId="10" borderId="5" xfId="0" applyFont="1" applyFill="1" applyBorder="1"/>
    <xf numFmtId="0" fontId="32" fillId="8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9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4" fontId="6" fillId="18" borderId="1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2" fillId="13" borderId="0" xfId="0" applyFont="1" applyFill="1"/>
    <xf numFmtId="0" fontId="35" fillId="13" borderId="0" xfId="0" applyFont="1" applyFill="1" applyBorder="1"/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0" fontId="25" fillId="5" borderId="16" xfId="0" applyFont="1" applyFill="1" applyBorder="1"/>
    <xf numFmtId="2" fontId="25" fillId="0" borderId="23" xfId="0" applyNumberFormat="1" applyFont="1" applyBorder="1"/>
    <xf numFmtId="0" fontId="25" fillId="0" borderId="17" xfId="0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25" fillId="5" borderId="15" xfId="0" applyFont="1" applyFill="1" applyBorder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0" xfId="0" quotePrefix="1" applyNumberFormat="1" applyBorder="1" applyAlignment="1">
      <alignment horizontal="lef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5" borderId="0" xfId="0" applyFont="1" applyFill="1"/>
    <xf numFmtId="0" fontId="0" fillId="25" borderId="45" xfId="0" applyFill="1" applyBorder="1" applyAlignment="1">
      <alignment horizontal="center" vertical="center"/>
    </xf>
    <xf numFmtId="0" fontId="0" fillId="25" borderId="5" xfId="0" applyFill="1" applyBorder="1" applyAlignment="1">
      <alignment horizontal="center" vertical="center"/>
    </xf>
    <xf numFmtId="0" fontId="0" fillId="25" borderId="46" xfId="0" applyFill="1" applyBorder="1" applyAlignment="1">
      <alignment horizontal="center" vertical="center"/>
    </xf>
    <xf numFmtId="0" fontId="0" fillId="25" borderId="40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 wrapText="1"/>
    </xf>
    <xf numFmtId="0" fontId="0" fillId="25" borderId="44" xfId="0" applyFill="1" applyBorder="1" applyAlignment="1">
      <alignment horizontal="center" vertical="center" wrapText="1"/>
    </xf>
    <xf numFmtId="0" fontId="0" fillId="25" borderId="41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60" fillId="25" borderId="6" xfId="0" applyFont="1" applyFill="1" applyBorder="1" applyAlignment="1">
      <alignment horizontal="center" vertical="center"/>
    </xf>
    <xf numFmtId="0" fontId="0" fillId="25" borderId="29" xfId="0" applyFill="1" applyBorder="1" applyAlignment="1">
      <alignment horizontal="center" vertical="center"/>
    </xf>
    <xf numFmtId="0" fontId="0" fillId="25" borderId="47" xfId="0" applyFill="1" applyBorder="1" applyAlignment="1">
      <alignment horizontal="center" vertical="center"/>
    </xf>
    <xf numFmtId="0" fontId="0" fillId="25" borderId="48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60" fillId="25" borderId="5" xfId="0" applyFont="1" applyFill="1" applyBorder="1" applyAlignment="1">
      <alignment horizontal="center" vertical="center"/>
    </xf>
    <xf numFmtId="0" fontId="60" fillId="25" borderId="46" xfId="0" applyFont="1" applyFill="1" applyBorder="1" applyAlignment="1">
      <alignment horizontal="center" vertical="center"/>
    </xf>
    <xf numFmtId="0" fontId="60" fillId="25" borderId="45" xfId="0" applyFont="1" applyFill="1" applyBorder="1" applyAlignment="1">
      <alignment horizontal="center" vertical="center"/>
    </xf>
    <xf numFmtId="0" fontId="61" fillId="25" borderId="5" xfId="0" applyFont="1" applyFill="1" applyBorder="1" applyAlignment="1">
      <alignment horizontal="center" vertical="center"/>
    </xf>
    <xf numFmtId="0" fontId="62" fillId="25" borderId="5" xfId="0" applyFont="1" applyFill="1" applyBorder="1" applyAlignment="1">
      <alignment horizontal="center" vertical="center"/>
    </xf>
    <xf numFmtId="0" fontId="63" fillId="25" borderId="5" xfId="0" applyFont="1" applyFill="1" applyBorder="1" applyAlignment="1">
      <alignment horizontal="center" vertical="center"/>
    </xf>
    <xf numFmtId="0" fontId="0" fillId="25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5" borderId="5" xfId="0" applyFont="1" applyFill="1" applyBorder="1"/>
    <xf numFmtId="0" fontId="25" fillId="25" borderId="45" xfId="0" applyFont="1" applyFill="1" applyBorder="1"/>
    <xf numFmtId="0" fontId="25" fillId="25" borderId="5" xfId="0" applyFont="1" applyFill="1" applyBorder="1" applyAlignment="1">
      <alignment horizontal="center"/>
    </xf>
    <xf numFmtId="0" fontId="25" fillId="12" borderId="0" xfId="0" applyFont="1" applyFill="1"/>
    <xf numFmtId="0" fontId="6" fillId="5" borderId="0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5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21" fillId="0" borderId="0" xfId="0" applyFont="1" applyFill="1" applyBorder="1"/>
    <xf numFmtId="0" fontId="42" fillId="0" borderId="0" xfId="0" applyFont="1" applyFill="1" applyBorder="1"/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7" fillId="0" borderId="0" xfId="0" quotePrefix="1" applyNumberFormat="1" applyFont="1" applyFill="1" applyBorder="1"/>
    <xf numFmtId="0" fontId="35" fillId="0" borderId="12" xfId="0" applyNumberFormat="1" applyFont="1" applyBorder="1" applyAlignment="1">
      <alignment horizontal="left"/>
    </xf>
    <xf numFmtId="0" fontId="0" fillId="21" borderId="5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0" borderId="5" xfId="0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0" fillId="0" borderId="13" xfId="0" applyBorder="1"/>
    <xf numFmtId="0" fontId="0" fillId="29" borderId="14" xfId="0" applyFill="1" applyBorder="1" applyAlignment="1">
      <alignment horizontal="center" vertical="center"/>
    </xf>
    <xf numFmtId="0" fontId="0" fillId="28" borderId="13" xfId="0" applyFill="1" applyBorder="1" applyAlignment="1">
      <alignment horizontal="center" vertical="center"/>
    </xf>
    <xf numFmtId="0" fontId="0" fillId="29" borderId="14" xfId="0" applyFill="1" applyBorder="1"/>
    <xf numFmtId="0" fontId="0" fillId="13" borderId="13" xfId="0" applyFill="1" applyBorder="1" applyAlignment="1">
      <alignment horizontal="center" vertical="center"/>
    </xf>
    <xf numFmtId="0" fontId="0" fillId="28" borderId="16" xfId="0" applyFill="1" applyBorder="1" applyAlignment="1">
      <alignment horizontal="center" vertical="center"/>
    </xf>
    <xf numFmtId="0" fontId="0" fillId="28" borderId="23" xfId="0" applyFill="1" applyBorder="1" applyAlignment="1">
      <alignment horizontal="center" vertical="center"/>
    </xf>
    <xf numFmtId="0" fontId="0" fillId="28" borderId="52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 vertical="center"/>
    </xf>
    <xf numFmtId="0" fontId="0" fillId="29" borderId="23" xfId="0" applyFill="1" applyBorder="1"/>
    <xf numFmtId="0" fontId="0" fillId="29" borderId="17" xfId="0" applyFill="1" applyBorder="1"/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6" xfId="0" applyFont="1" applyFill="1" applyBorder="1"/>
    <xf numFmtId="2" fontId="83" fillId="20" borderId="27" xfId="0" applyNumberFormat="1" applyFont="1" applyFill="1" applyBorder="1"/>
    <xf numFmtId="0" fontId="76" fillId="20" borderId="26" xfId="0" applyFont="1" applyFill="1" applyBorder="1" applyAlignment="1">
      <alignment horizontal="right"/>
    </xf>
    <xf numFmtId="0" fontId="85" fillId="20" borderId="28" xfId="0" applyFont="1" applyFill="1" applyBorder="1" applyAlignment="1">
      <alignment horizontal="left"/>
    </xf>
    <xf numFmtId="0" fontId="86" fillId="20" borderId="26" xfId="0" applyFont="1" applyFill="1" applyBorder="1"/>
    <xf numFmtId="0" fontId="85" fillId="20" borderId="26" xfId="0" applyFont="1" applyFill="1" applyBorder="1" applyAlignment="1">
      <alignment horizontal="right"/>
    </xf>
    <xf numFmtId="2" fontId="85" fillId="20" borderId="26" xfId="0" applyNumberFormat="1" applyFont="1" applyFill="1" applyBorder="1" applyAlignment="1">
      <alignment horizontal="right"/>
    </xf>
    <xf numFmtId="0" fontId="85" fillId="20" borderId="26" xfId="0" applyFont="1" applyFill="1" applyBorder="1"/>
    <xf numFmtId="2" fontId="86" fillId="20" borderId="27" xfId="0" applyNumberFormat="1" applyFont="1" applyFill="1" applyBorder="1"/>
    <xf numFmtId="0" fontId="40" fillId="20" borderId="28" xfId="0" applyFont="1" applyFill="1" applyBorder="1"/>
    <xf numFmtId="0" fontId="85" fillId="20" borderId="26" xfId="0" applyFont="1" applyFill="1" applyBorder="1" applyAlignment="1">
      <alignment horizontal="left"/>
    </xf>
    <xf numFmtId="0" fontId="40" fillId="20" borderId="26" xfId="0" applyFont="1" applyFill="1" applyBorder="1"/>
    <xf numFmtId="0" fontId="40" fillId="20" borderId="27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6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9" xfId="0" applyFont="1" applyBorder="1" applyAlignment="1">
      <alignment horizontal="left"/>
    </xf>
    <xf numFmtId="0" fontId="73" fillId="0" borderId="15" xfId="0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3" borderId="2" xfId="0" applyFont="1" applyFill="1" applyBorder="1" applyAlignment="1"/>
    <xf numFmtId="0" fontId="26" fillId="13" borderId="4" xfId="0" applyFont="1" applyFill="1" applyBorder="1" applyAlignment="1"/>
    <xf numFmtId="0" fontId="7" fillId="0" borderId="4" xfId="0" applyFont="1" applyBorder="1" applyAlignment="1">
      <alignment horizontal="left"/>
    </xf>
    <xf numFmtId="0" fontId="106" fillId="16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0" xfId="0" applyFont="1" applyBorder="1"/>
    <xf numFmtId="0" fontId="57" fillId="0" borderId="12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164" fontId="0" fillId="0" borderId="15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  <xf numFmtId="164" fontId="0" fillId="0" borderId="20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8" xfId="0" applyFont="1" applyFill="1" applyBorder="1" applyAlignment="1">
      <alignment horizontal="center"/>
    </xf>
    <xf numFmtId="0" fontId="25" fillId="5" borderId="9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8" xfId="0" applyFont="1" applyFill="1" applyBorder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44" fillId="21" borderId="15" xfId="0" applyFont="1" applyFill="1" applyBorder="1"/>
    <xf numFmtId="0" fontId="49" fillId="21" borderId="8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73" fillId="3" borderId="5" xfId="0" applyFont="1" applyFill="1" applyBorder="1"/>
    <xf numFmtId="0" fontId="91" fillId="0" borderId="8" xfId="0" applyFont="1" applyBorder="1" applyAlignment="1">
      <alignment horizontal="left"/>
    </xf>
    <xf numFmtId="0" fontId="90" fillId="3" borderId="5" xfId="0" applyFont="1" applyFill="1" applyBorder="1"/>
    <xf numFmtId="0" fontId="91" fillId="3" borderId="5" xfId="0" applyFont="1" applyFill="1" applyBorder="1"/>
    <xf numFmtId="0" fontId="29" fillId="0" borderId="19" xfId="0" applyFont="1" applyBorder="1" applyAlignment="1">
      <alignment vertical="center"/>
    </xf>
    <xf numFmtId="0" fontId="90" fillId="26" borderId="5" xfId="0" applyFont="1" applyFill="1" applyBorder="1"/>
    <xf numFmtId="0" fontId="31" fillId="0" borderId="5" xfId="0" applyFont="1" applyFill="1" applyBorder="1"/>
    <xf numFmtId="0" fontId="90" fillId="0" borderId="5" xfId="0" applyFont="1" applyFill="1" applyBorder="1"/>
    <xf numFmtId="0" fontId="29" fillId="0" borderId="0" xfId="0" applyFont="1" applyFill="1" applyBorder="1" applyAlignment="1">
      <alignment horizontal="right"/>
    </xf>
    <xf numFmtId="0" fontId="90" fillId="5" borderId="5" xfId="0" applyFont="1" applyFill="1" applyBorder="1"/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90" fillId="10" borderId="25" xfId="0" applyFont="1" applyFill="1" applyBorder="1"/>
    <xf numFmtId="0" fontId="110" fillId="3" borderId="25" xfId="0" applyFont="1" applyFill="1" applyBorder="1"/>
    <xf numFmtId="0" fontId="110" fillId="3" borderId="5" xfId="0" applyFont="1" applyFill="1" applyBorder="1"/>
    <xf numFmtId="0" fontId="111" fillId="5" borderId="0" xfId="0" applyFont="1" applyFill="1" applyBorder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90" fillId="10" borderId="5" xfId="0" applyFont="1" applyFill="1" applyBorder="1"/>
    <xf numFmtId="0" fontId="73" fillId="10" borderId="5" xfId="0" applyFont="1" applyFill="1" applyBorder="1"/>
    <xf numFmtId="0" fontId="29" fillId="0" borderId="0" xfId="0" applyFont="1" applyBorder="1" applyAlignment="1"/>
    <xf numFmtId="2" fontId="90" fillId="0" borderId="5" xfId="0" applyNumberFormat="1" applyFont="1" applyFill="1" applyBorder="1"/>
    <xf numFmtId="2" fontId="90" fillId="3" borderId="5" xfId="0" applyNumberFormat="1" applyFont="1" applyFill="1" applyBorder="1"/>
    <xf numFmtId="0" fontId="73" fillId="8" borderId="0" xfId="0" applyFont="1" applyFill="1"/>
    <xf numFmtId="0" fontId="73" fillId="0" borderId="5" xfId="0" applyFont="1" applyBorder="1"/>
    <xf numFmtId="0" fontId="73" fillId="0" borderId="25" xfId="0" applyFont="1" applyFill="1" applyBorder="1"/>
    <xf numFmtId="0" fontId="73" fillId="0" borderId="5" xfId="0" applyFont="1" applyFill="1" applyBorder="1"/>
    <xf numFmtId="0" fontId="37" fillId="5" borderId="0" xfId="0" applyFont="1" applyFill="1" applyBorder="1" applyAlignment="1">
      <alignment horizontal="left"/>
    </xf>
    <xf numFmtId="0" fontId="73" fillId="5" borderId="0" xfId="0" applyFont="1" applyFill="1" applyBorder="1"/>
    <xf numFmtId="0" fontId="73" fillId="5" borderId="5" xfId="0" applyFont="1" applyFill="1" applyBorder="1"/>
    <xf numFmtId="0" fontId="90" fillId="5" borderId="0" xfId="0" applyFont="1" applyFill="1" applyBorder="1"/>
    <xf numFmtId="0" fontId="90" fillId="0" borderId="12" xfId="0" applyFont="1" applyBorder="1" applyAlignment="1">
      <alignment horizontal="left"/>
    </xf>
    <xf numFmtId="49" fontId="31" fillId="0" borderId="0" xfId="0" quotePrefix="1" applyNumberFormat="1" applyFont="1" applyBorder="1" applyAlignment="1"/>
    <xf numFmtId="0" fontId="31" fillId="0" borderId="12" xfId="0" applyFont="1" applyBorder="1" applyAlignment="1">
      <alignment horizontal="left"/>
    </xf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73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73" fillId="0" borderId="19" xfId="0" applyNumberFormat="1" applyFont="1" applyBorder="1" applyAlignment="1">
      <alignment horizontal="right"/>
    </xf>
    <xf numFmtId="0" fontId="4" fillId="0" borderId="14" xfId="0" applyFont="1" applyBorder="1"/>
    <xf numFmtId="0" fontId="4" fillId="0" borderId="57" xfId="0" applyFont="1" applyBorder="1"/>
    <xf numFmtId="0" fontId="65" fillId="18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0" fillId="5" borderId="32" xfId="0" applyFill="1" applyBorder="1"/>
    <xf numFmtId="164" fontId="0" fillId="0" borderId="32" xfId="0" applyNumberFormat="1" applyFill="1" applyBorder="1"/>
    <xf numFmtId="2" fontId="0" fillId="5" borderId="32" xfId="0" applyNumberFormat="1" applyFill="1" applyBorder="1"/>
    <xf numFmtId="0" fontId="19" fillId="14" borderId="59" xfId="0" applyFont="1" applyFill="1" applyBorder="1"/>
    <xf numFmtId="0" fontId="0" fillId="0" borderId="52" xfId="0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61" xfId="0" applyFill="1" applyBorder="1"/>
    <xf numFmtId="0" fontId="0" fillId="18" borderId="57" xfId="0" applyFill="1" applyBorder="1"/>
    <xf numFmtId="0" fontId="36" fillId="17" borderId="15" xfId="0" applyFont="1" applyFill="1" applyBorder="1"/>
    <xf numFmtId="0" fontId="36" fillId="16" borderId="61" xfId="0" applyFont="1" applyFill="1" applyBorder="1"/>
    <xf numFmtId="0" fontId="36" fillId="18" borderId="57" xfId="0" applyFont="1" applyFill="1" applyBorder="1"/>
    <xf numFmtId="0" fontId="36" fillId="16" borderId="39" xfId="0" applyFont="1" applyFill="1" applyBorder="1"/>
    <xf numFmtId="0" fontId="36" fillId="18" borderId="40" xfId="0" applyFont="1" applyFill="1" applyBorder="1"/>
    <xf numFmtId="0" fontId="44" fillId="32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96" fillId="3" borderId="5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73" fillId="5" borderId="5" xfId="0" applyFont="1" applyFill="1" applyBorder="1" applyAlignment="1"/>
    <xf numFmtId="0" fontId="73" fillId="5" borderId="5" xfId="0" applyFont="1" applyFill="1" applyBorder="1" applyAlignment="1">
      <alignment horizontal="right"/>
    </xf>
    <xf numFmtId="0" fontId="0" fillId="0" borderId="63" xfId="0" applyBorder="1"/>
    <xf numFmtId="0" fontId="57" fillId="30" borderId="7" xfId="0" applyFont="1" applyFill="1" applyBorder="1"/>
    <xf numFmtId="0" fontId="0" fillId="0" borderId="64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9" xfId="0" applyFill="1" applyBorder="1"/>
    <xf numFmtId="0" fontId="0" fillId="31" borderId="13" xfId="0" applyFill="1" applyBorder="1"/>
    <xf numFmtId="0" fontId="0" fillId="31" borderId="61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60" xfId="0" applyFill="1" applyBorder="1"/>
    <xf numFmtId="0" fontId="29" fillId="13" borderId="32" xfId="0" applyFont="1" applyFill="1" applyBorder="1"/>
    <xf numFmtId="0" fontId="73" fillId="13" borderId="32" xfId="0" applyFont="1" applyFill="1" applyBorder="1"/>
    <xf numFmtId="0" fontId="73" fillId="10" borderId="32" xfId="0" applyFont="1" applyFill="1" applyBorder="1"/>
    <xf numFmtId="0" fontId="73" fillId="8" borderId="5" xfId="0" applyFont="1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49" fontId="73" fillId="0" borderId="0" xfId="0" applyNumberFormat="1" applyFont="1" applyBorder="1" applyAlignment="1">
      <alignment horizontal="right"/>
    </xf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61" xfId="0" applyFont="1" applyFill="1" applyBorder="1"/>
    <xf numFmtId="0" fontId="31" fillId="0" borderId="19" xfId="0" applyFont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31" fillId="3" borderId="5" xfId="0" applyFont="1" applyFill="1" applyBorder="1"/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9" xfId="0" applyFill="1" applyBorder="1"/>
    <xf numFmtId="0" fontId="0" fillId="20" borderId="67" xfId="0" applyFill="1" applyBorder="1"/>
    <xf numFmtId="2" fontId="0" fillId="20" borderId="68" xfId="0" applyNumberFormat="1" applyFill="1" applyBorder="1"/>
    <xf numFmtId="2" fontId="119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6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5" fillId="8" borderId="7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right"/>
    </xf>
    <xf numFmtId="0" fontId="35" fillId="0" borderId="28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3" borderId="66" xfId="0" applyFill="1" applyBorder="1" applyAlignment="1">
      <alignment horizontal="center"/>
    </xf>
    <xf numFmtId="0" fontId="6" fillId="31" borderId="28" xfId="0" applyFont="1" applyFill="1" applyBorder="1" applyAlignment="1">
      <alignment horizontal="center" vertical="center"/>
    </xf>
    <xf numFmtId="0" fontId="6" fillId="31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0" fontId="68" fillId="0" borderId="0" xfId="0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1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4" borderId="5" xfId="0" applyFill="1" applyBorder="1"/>
    <xf numFmtId="0" fontId="0" fillId="22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7" xfId="0" applyFill="1" applyBorder="1" applyAlignment="1">
      <alignment horizontal="left"/>
    </xf>
    <xf numFmtId="0" fontId="120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40" xfId="0" applyFill="1" applyBorder="1"/>
    <xf numFmtId="0" fontId="0" fillId="31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2" fillId="0" borderId="0" xfId="0" applyFont="1" applyBorder="1"/>
    <xf numFmtId="0" fontId="121" fillId="0" borderId="0" xfId="0" applyFont="1" applyFill="1" applyBorder="1" applyAlignment="1">
      <alignment horizontal="right"/>
    </xf>
    <xf numFmtId="0" fontId="25" fillId="5" borderId="0" xfId="0" applyFont="1" applyFill="1" applyAlignment="1">
      <alignment horizontal="right"/>
    </xf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2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2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4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91" fillId="0" borderId="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73" fillId="0" borderId="0" xfId="0" quotePrefix="1" applyNumberFormat="1" applyFont="1" applyBorder="1" applyAlignment="1">
      <alignment horizontal="center"/>
    </xf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35" fillId="8" borderId="7" xfId="0" applyFont="1" applyFill="1" applyBorder="1" applyAlignment="1">
      <alignment horizontal="center" vertical="center"/>
    </xf>
    <xf numFmtId="0" fontId="0" fillId="37" borderId="2" xfId="0" applyFill="1" applyBorder="1"/>
    <xf numFmtId="0" fontId="0" fillId="37" borderId="3" xfId="0" applyFill="1" applyBorder="1"/>
    <xf numFmtId="0" fontId="0" fillId="37" borderId="6" xfId="0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6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7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0" borderId="0" xfId="0" applyFill="1"/>
    <xf numFmtId="0" fontId="76" fillId="20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0" fillId="5" borderId="0" xfId="0" applyFill="1" applyBorder="1"/>
    <xf numFmtId="0" fontId="10" fillId="0" borderId="0" xfId="0" applyFont="1" applyBorder="1" applyAlignment="1">
      <alignment horizontal="left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8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8" borderId="16" xfId="0" applyFont="1" applyFill="1" applyBorder="1"/>
    <xf numFmtId="0" fontId="43" fillId="18" borderId="10" xfId="0" applyFont="1" applyFill="1" applyBorder="1"/>
    <xf numFmtId="0" fontId="7" fillId="0" borderId="0" xfId="0" applyFont="1" applyBorder="1" applyAlignment="1">
      <alignment horizontal="center"/>
    </xf>
    <xf numFmtId="0" fontId="106" fillId="18" borderId="2" xfId="0" applyFont="1" applyFill="1" applyBorder="1"/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2" borderId="8" xfId="0" applyFill="1" applyBorder="1"/>
    <xf numFmtId="0" fontId="0" fillId="22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7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5" xfId="0" applyFill="1" applyBorder="1"/>
    <xf numFmtId="0" fontId="70" fillId="13" borderId="5" xfId="0" applyFont="1" applyFill="1" applyBorder="1" applyAlignment="1"/>
    <xf numFmtId="0" fontId="70" fillId="21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0" fillId="21" borderId="13" xfId="0" applyFill="1" applyBorder="1" applyAlignment="1">
      <alignment horizontal="right"/>
    </xf>
    <xf numFmtId="0" fontId="0" fillId="24" borderId="14" xfId="0" applyFill="1" applyBorder="1"/>
    <xf numFmtId="168" fontId="0" fillId="5" borderId="14" xfId="0" applyNumberFormat="1" applyFill="1" applyBorder="1"/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35" fillId="8" borderId="7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 vertical="center"/>
    </xf>
    <xf numFmtId="0" fontId="35" fillId="8" borderId="12" xfId="0" applyFont="1" applyFill="1" applyBorder="1" applyAlignment="1">
      <alignment vertical="center"/>
    </xf>
    <xf numFmtId="0" fontId="35" fillId="8" borderId="18" xfId="0" applyFont="1" applyFill="1" applyBorder="1" applyAlignment="1">
      <alignment horizontal="center"/>
    </xf>
    <xf numFmtId="0" fontId="35" fillId="8" borderId="20" xfId="0" applyFont="1" applyFill="1" applyBorder="1" applyAlignment="1">
      <alignment horizontal="center"/>
    </xf>
    <xf numFmtId="0" fontId="0" fillId="0" borderId="32" xfId="0" applyBorder="1"/>
    <xf numFmtId="0" fontId="0" fillId="8" borderId="42" xfId="0" applyFill="1" applyBorder="1"/>
    <xf numFmtId="0" fontId="0" fillId="38" borderId="2" xfId="0" applyFill="1" applyBorder="1"/>
    <xf numFmtId="0" fontId="0" fillId="38" borderId="4" xfId="0" applyFill="1" applyBorder="1"/>
    <xf numFmtId="2" fontId="37" fillId="18" borderId="0" xfId="0" applyNumberFormat="1" applyFont="1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6" borderId="28" xfId="0" applyFont="1" applyFill="1" applyBorder="1" applyAlignment="1">
      <alignment horizontal="left"/>
    </xf>
    <xf numFmtId="0" fontId="83" fillId="36" borderId="27" xfId="0" applyFont="1" applyFill="1" applyBorder="1"/>
    <xf numFmtId="0" fontId="128" fillId="0" borderId="8" xfId="0" applyFont="1" applyBorder="1"/>
    <xf numFmtId="0" fontId="128" fillId="0" borderId="0" xfId="0" applyFont="1" applyFill="1" applyBorder="1" applyAlignment="1">
      <alignment horizontal="left"/>
    </xf>
    <xf numFmtId="0" fontId="128" fillId="0" borderId="0" xfId="0" quotePrefix="1" applyNumberFormat="1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73" fillId="0" borderId="0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6" borderId="38" xfId="0" applyFont="1" applyFill="1" applyBorder="1" applyAlignment="1">
      <alignment horizontal="left"/>
    </xf>
    <xf numFmtId="0" fontId="83" fillId="36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8" xfId="0" applyFont="1" applyFill="1" applyBorder="1" applyAlignment="1">
      <alignment horizontal="right"/>
    </xf>
    <xf numFmtId="0" fontId="86" fillId="36" borderId="27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8" xfId="0" applyFont="1" applyFill="1" applyBorder="1" applyAlignment="1">
      <alignment horizontal="left"/>
    </xf>
    <xf numFmtId="0" fontId="85" fillId="36" borderId="42" xfId="0" applyFont="1" applyFill="1" applyBorder="1" applyAlignment="1">
      <alignment horizontal="left"/>
    </xf>
    <xf numFmtId="0" fontId="86" fillId="36" borderId="39" xfId="0" applyFont="1" applyFill="1" applyBorder="1"/>
    <xf numFmtId="0" fontId="86" fillId="36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29" fillId="0" borderId="0" xfId="0" applyFont="1"/>
    <xf numFmtId="0" fontId="130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0" fontId="0" fillId="35" borderId="14" xfId="0" applyFill="1" applyBorder="1"/>
    <xf numFmtId="167" fontId="83" fillId="13" borderId="13" xfId="0" applyNumberFormat="1" applyFont="1" applyFill="1" applyBorder="1"/>
    <xf numFmtId="0" fontId="35" fillId="6" borderId="15" xfId="0" applyFont="1" applyFill="1" applyBorder="1" applyAlignment="1">
      <alignment vertical="center"/>
    </xf>
    <xf numFmtId="0" fontId="0" fillId="6" borderId="9" xfId="0" applyFill="1" applyBorder="1"/>
    <xf numFmtId="0" fontId="35" fillId="6" borderId="7" xfId="0" applyFont="1" applyFill="1" applyBorder="1" applyAlignment="1">
      <alignment vertical="center"/>
    </xf>
    <xf numFmtId="14" fontId="0" fillId="6" borderId="12" xfId="0" quotePrefix="1" applyNumberForma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7" xfId="0" applyFont="1" applyFill="1" applyBorder="1"/>
    <xf numFmtId="2" fontId="0" fillId="31" borderId="20" xfId="0" applyNumberFormat="1" applyFill="1" applyBorder="1"/>
    <xf numFmtId="0" fontId="78" fillId="31" borderId="41" xfId="0" applyFont="1" applyFill="1" applyBorder="1"/>
    <xf numFmtId="0" fontId="0" fillId="31" borderId="14" xfId="0" applyFill="1" applyBorder="1"/>
    <xf numFmtId="0" fontId="0" fillId="36" borderId="77" xfId="0" applyFill="1" applyBorder="1"/>
    <xf numFmtId="0" fontId="0" fillId="31" borderId="71" xfId="0" applyFill="1" applyBorder="1"/>
    <xf numFmtId="0" fontId="0" fillId="31" borderId="49" xfId="0" applyFill="1" applyBorder="1"/>
    <xf numFmtId="0" fontId="0" fillId="31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lef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1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1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2" fillId="0" borderId="0" xfId="0" applyFont="1" applyBorder="1"/>
    <xf numFmtId="0" fontId="57" fillId="30" borderId="61" xfId="0" applyFont="1" applyFill="1" applyBorder="1"/>
    <xf numFmtId="0" fontId="73" fillId="0" borderId="29" xfId="0" applyFont="1" applyBorder="1"/>
    <xf numFmtId="0" fontId="73" fillId="0" borderId="49" xfId="0" applyFont="1" applyBorder="1"/>
    <xf numFmtId="0" fontId="73" fillId="13" borderId="33" xfId="0" applyFont="1" applyFill="1" applyBorder="1"/>
    <xf numFmtId="0" fontId="73" fillId="13" borderId="9" xfId="0" applyFont="1" applyFill="1" applyBorder="1"/>
    <xf numFmtId="0" fontId="133" fillId="0" borderId="0" xfId="0" applyFont="1" applyBorder="1"/>
    <xf numFmtId="0" fontId="134" fillId="0" borderId="0" xfId="0" applyFont="1" applyBorder="1" applyAlignment="1">
      <alignment horizontal="left"/>
    </xf>
    <xf numFmtId="0" fontId="133" fillId="0" borderId="0" xfId="0" applyFont="1" applyBorder="1" applyAlignment="1">
      <alignment horizontal="left"/>
    </xf>
    <xf numFmtId="0" fontId="133" fillId="0" borderId="0" xfId="0" applyFont="1"/>
    <xf numFmtId="0" fontId="73" fillId="0" borderId="75" xfId="0" applyFont="1" applyBorder="1"/>
    <xf numFmtId="0" fontId="73" fillId="0" borderId="71" xfId="0" applyFont="1" applyBorder="1"/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44" fillId="32" borderId="15" xfId="0" applyFont="1" applyFill="1" applyBorder="1"/>
    <xf numFmtId="0" fontId="44" fillId="32" borderId="8" xfId="0" applyFont="1" applyFill="1" applyBorder="1"/>
    <xf numFmtId="0" fontId="25" fillId="0" borderId="0" xfId="0" applyFont="1" applyFill="1" applyBorder="1" applyAlignment="1">
      <alignment horizontal="right"/>
    </xf>
    <xf numFmtId="0" fontId="25" fillId="0" borderId="47" xfId="0" applyFont="1" applyBorder="1"/>
    <xf numFmtId="0" fontId="25" fillId="0" borderId="51" xfId="0" applyFont="1" applyBorder="1"/>
    <xf numFmtId="0" fontId="25" fillId="0" borderId="49" xfId="0" applyFont="1" applyBorder="1"/>
    <xf numFmtId="0" fontId="25" fillId="0" borderId="21" xfId="0" applyFont="1" applyBorder="1"/>
    <xf numFmtId="0" fontId="25" fillId="0" borderId="31" xfId="0" applyFont="1" applyBorder="1"/>
    <xf numFmtId="0" fontId="25" fillId="0" borderId="48" xfId="0" applyFont="1" applyBorder="1"/>
    <xf numFmtId="0" fontId="25" fillId="0" borderId="56" xfId="0" applyFont="1" applyBorder="1" applyAlignment="1">
      <alignment horizontal="right"/>
    </xf>
    <xf numFmtId="0" fontId="25" fillId="0" borderId="56" xfId="0" applyFont="1" applyBorder="1"/>
    <xf numFmtId="0" fontId="25" fillId="0" borderId="58" xfId="0" applyFont="1" applyBorder="1"/>
    <xf numFmtId="0" fontId="0" fillId="13" borderId="5" xfId="0" applyFill="1" applyBorder="1"/>
    <xf numFmtId="0" fontId="0" fillId="5" borderId="8" xfId="0" applyFill="1" applyBorder="1"/>
    <xf numFmtId="0" fontId="0" fillId="13" borderId="32" xfId="0" applyFill="1" applyBorder="1"/>
    <xf numFmtId="0" fontId="0" fillId="8" borderId="5" xfId="0" applyFill="1" applyBorder="1"/>
    <xf numFmtId="0" fontId="0" fillId="0" borderId="46" xfId="0" applyBorder="1"/>
    <xf numFmtId="0" fontId="44" fillId="0" borderId="5" xfId="0" applyFont="1" applyFill="1" applyBorder="1"/>
    <xf numFmtId="0" fontId="25" fillId="41" borderId="10" xfId="0" applyFont="1" applyFill="1" applyBorder="1" applyAlignment="1">
      <alignment horizontal="right"/>
    </xf>
    <xf numFmtId="0" fontId="25" fillId="41" borderId="22" xfId="0" applyFont="1" applyFill="1" applyBorder="1"/>
    <xf numFmtId="0" fontId="25" fillId="41" borderId="15" xfId="0" applyFont="1" applyFill="1" applyBorder="1"/>
    <xf numFmtId="0" fontId="73" fillId="0" borderId="65" xfId="0" applyFont="1" applyBorder="1"/>
    <xf numFmtId="0" fontId="73" fillId="0" borderId="54" xfId="0" applyFont="1" applyBorder="1"/>
    <xf numFmtId="0" fontId="73" fillId="0" borderId="78" xfId="0" applyFont="1" applyBorder="1"/>
    <xf numFmtId="0" fontId="0" fillId="13" borderId="0" xfId="0" applyFill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7" xfId="0" applyFill="1" applyBorder="1"/>
    <xf numFmtId="0" fontId="0" fillId="14" borderId="0" xfId="0" applyFill="1"/>
    <xf numFmtId="0" fontId="135" fillId="0" borderId="0" xfId="0" applyFont="1" applyFill="1" applyBorder="1" applyAlignment="1">
      <alignment horizontal="center" vertical="center"/>
    </xf>
    <xf numFmtId="0" fontId="136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/>
    <xf numFmtId="0" fontId="29" fillId="0" borderId="0" xfId="0" applyNumberFormat="1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73" fillId="0" borderId="0" xfId="0" applyNumberFormat="1" applyFont="1" applyBorder="1"/>
    <xf numFmtId="0" fontId="0" fillId="0" borderId="15" xfId="0" applyFont="1" applyBorder="1"/>
    <xf numFmtId="0" fontId="73" fillId="0" borderId="15" xfId="0" applyFont="1" applyBorder="1" applyAlignment="1">
      <alignment horizontal="center"/>
    </xf>
    <xf numFmtId="49" fontId="31" fillId="0" borderId="0" xfId="0" applyNumberFormat="1" applyFont="1" applyBorder="1" applyAlignment="1"/>
    <xf numFmtId="0" fontId="73" fillId="0" borderId="7" xfId="0" applyFont="1" applyBorder="1" applyAlignment="1">
      <alignment horizontal="right"/>
    </xf>
    <xf numFmtId="0" fontId="73" fillId="0" borderId="9" xfId="0" applyFont="1" applyBorder="1" applyAlignment="1">
      <alignment horizontal="center"/>
    </xf>
    <xf numFmtId="0" fontId="73" fillId="0" borderId="6" xfId="0" applyFont="1" applyBorder="1" applyAlignment="1">
      <alignment horizontal="center"/>
    </xf>
    <xf numFmtId="0" fontId="73" fillId="0" borderId="28" xfId="0" applyFont="1" applyBorder="1" applyAlignment="1">
      <alignment horizontal="center"/>
    </xf>
    <xf numFmtId="0" fontId="73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4" fillId="0" borderId="0" xfId="0" applyFont="1" applyBorder="1" applyAlignment="1">
      <alignment horizontal="left" vertical="top" textRotation="45" wrapText="1"/>
    </xf>
    <xf numFmtId="0" fontId="24" fillId="6" borderId="0" xfId="0" applyFont="1" applyFill="1" applyBorder="1" applyAlignment="1">
      <alignment horizontal="left" vertical="top" textRotation="45" wrapText="1"/>
    </xf>
    <xf numFmtId="0" fontId="24" fillId="0" borderId="0" xfId="0" applyFont="1" applyBorder="1" applyAlignment="1">
      <alignment textRotation="45"/>
    </xf>
    <xf numFmtId="0" fontId="22" fillId="0" borderId="18" xfId="0" applyFont="1" applyBorder="1"/>
    <xf numFmtId="0" fontId="20" fillId="3" borderId="6" xfId="0" applyFont="1" applyFill="1" applyBorder="1"/>
    <xf numFmtId="0" fontId="25" fillId="21" borderId="19" xfId="0" applyFont="1" applyFill="1" applyBorder="1" applyAlignment="1">
      <alignment horizontal="left"/>
    </xf>
    <xf numFmtId="0" fontId="25" fillId="21" borderId="8" xfId="0" applyFont="1" applyFill="1" applyBorder="1" applyAlignment="1">
      <alignment horizontal="left" vertical="center"/>
    </xf>
    <xf numFmtId="0" fontId="11" fillId="0" borderId="8" xfId="0" applyFont="1" applyBorder="1"/>
    <xf numFmtId="1" fontId="25" fillId="25" borderId="9" xfId="0" applyNumberFormat="1" applyFont="1" applyFill="1" applyBorder="1"/>
    <xf numFmtId="0" fontId="96" fillId="13" borderId="15" xfId="0" applyFont="1" applyFill="1" applyBorder="1"/>
    <xf numFmtId="0" fontId="25" fillId="5" borderId="0" xfId="0" applyFont="1" applyFill="1" applyBorder="1" applyAlignment="1"/>
    <xf numFmtId="0" fontId="25" fillId="5" borderId="12" xfId="0" applyFont="1" applyFill="1" applyBorder="1" applyAlignment="1"/>
    <xf numFmtId="0" fontId="25" fillId="0" borderId="2" xfId="0" applyFont="1" applyBorder="1"/>
    <xf numFmtId="0" fontId="25" fillId="0" borderId="3" xfId="0" applyFont="1" applyBorder="1" applyAlignment="1">
      <alignment horizontal="right"/>
    </xf>
    <xf numFmtId="0" fontId="44" fillId="0" borderId="15" xfId="0" applyFont="1" applyFill="1" applyBorder="1"/>
    <xf numFmtId="0" fontId="44" fillId="0" borderId="8" xfId="0" applyFont="1" applyFill="1" applyBorder="1" applyAlignment="1">
      <alignment horizontal="right"/>
    </xf>
    <xf numFmtId="0" fontId="44" fillId="32" borderId="7" xfId="0" applyFont="1" applyFill="1" applyBorder="1"/>
    <xf numFmtId="0" fontId="44" fillId="0" borderId="18" xfId="0" applyFont="1" applyFill="1" applyBorder="1"/>
    <xf numFmtId="0" fontId="44" fillId="0" borderId="19" xfId="0" applyFont="1" applyFill="1" applyBorder="1"/>
    <xf numFmtId="0" fontId="29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0" fillId="0" borderId="0" xfId="0"/>
    <xf numFmtId="164" fontId="90" fillId="3" borderId="5" xfId="0" applyNumberFormat="1" applyFont="1" applyFill="1" applyBorder="1"/>
    <xf numFmtId="0" fontId="73" fillId="0" borderId="0" xfId="0" applyFont="1" applyBorder="1" applyAlignment="1"/>
    <xf numFmtId="0" fontId="73" fillId="13" borderId="0" xfId="0" applyFont="1" applyFill="1"/>
    <xf numFmtId="169" fontId="73" fillId="0" borderId="0" xfId="0" applyNumberFormat="1" applyFont="1" applyBorder="1"/>
    <xf numFmtId="0" fontId="73" fillId="0" borderId="7" xfId="0" applyFont="1" applyBorder="1" applyAlignment="1">
      <alignment horizontal="center"/>
    </xf>
    <xf numFmtId="0" fontId="29" fillId="0" borderId="18" xfId="0" applyFont="1" applyBorder="1" applyAlignment="1"/>
    <xf numFmtId="0" fontId="29" fillId="0" borderId="0" xfId="0" applyFont="1" applyFill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90" fillId="8" borderId="47" xfId="0" applyFont="1" applyFill="1" applyBorder="1" applyAlignment="1">
      <alignment horizontal="center"/>
    </xf>
    <xf numFmtId="0" fontId="90" fillId="8" borderId="51" xfId="0" applyFont="1" applyFill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73" fillId="0" borderId="15" xfId="0" applyFont="1" applyBorder="1" applyAlignment="1">
      <alignment horizontal="center" wrapText="1"/>
    </xf>
    <xf numFmtId="0" fontId="73" fillId="0" borderId="18" xfId="0" applyFont="1" applyBorder="1" applyAlignment="1">
      <alignment horizontal="center" wrapText="1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12" fillId="3" borderId="15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2" xfId="0" applyNumberFormat="1" applyFont="1" applyBorder="1" applyAlignment="1">
      <alignment horizontal="center"/>
    </xf>
    <xf numFmtId="0" fontId="35" fillId="0" borderId="4" xfId="0" applyNumberFormat="1" applyFon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53" xfId="0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42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3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35" fillId="0" borderId="15" xfId="0" applyFont="1" applyFill="1" applyBorder="1" applyAlignment="1">
      <alignment horizontal="center"/>
    </xf>
    <xf numFmtId="0" fontId="35" fillId="0" borderId="9" xfId="0" applyFont="1" applyFill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125" fillId="27" borderId="2" xfId="2" applyFont="1" applyFill="1" applyBorder="1" applyAlignment="1">
      <alignment horizontal="center"/>
    </xf>
    <xf numFmtId="0" fontId="125" fillId="27" borderId="4" xfId="2" applyFont="1" applyFill="1" applyBorder="1" applyAlignment="1">
      <alignment horizontal="center"/>
    </xf>
    <xf numFmtId="0" fontId="5" fillId="16" borderId="15" xfId="0" applyFont="1" applyFill="1" applyBorder="1" applyAlignment="1">
      <alignment horizontal="left"/>
    </xf>
    <xf numFmtId="0" fontId="5" fillId="16" borderId="36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1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14" fontId="7" fillId="0" borderId="2" xfId="0" applyNumberFormat="1" applyFont="1" applyBorder="1" applyAlignment="1">
      <alignment horizontal="right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3" fillId="5" borderId="32" xfId="0" applyFont="1" applyFill="1" applyBorder="1" applyAlignment="1">
      <alignment horizontal="left"/>
    </xf>
    <xf numFmtId="0" fontId="33" fillId="5" borderId="29" xfId="0" applyFont="1" applyFill="1" applyBorder="1" applyAlignment="1">
      <alignment horizontal="left"/>
    </xf>
    <xf numFmtId="0" fontId="22" fillId="4" borderId="32" xfId="0" applyFont="1" applyFill="1" applyBorder="1" applyAlignment="1">
      <alignment horizontal="center"/>
    </xf>
    <xf numFmtId="0" fontId="22" fillId="4" borderId="29" xfId="0" applyFont="1" applyFill="1" applyBorder="1" applyAlignment="1">
      <alignment horizontal="center"/>
    </xf>
    <xf numFmtId="0" fontId="20" fillId="4" borderId="5" xfId="0" applyFont="1" applyFill="1" applyBorder="1" applyAlignment="1"/>
    <xf numFmtId="0" fontId="20" fillId="3" borderId="5" xfId="0" applyFont="1" applyFill="1" applyBorder="1" applyAlignment="1"/>
    <xf numFmtId="0" fontId="0" fillId="36" borderId="32" xfId="0" applyFill="1" applyBorder="1" applyAlignment="1">
      <alignment horizontal="center"/>
    </xf>
    <xf numFmtId="0" fontId="0" fillId="36" borderId="29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29" borderId="1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0" borderId="0" xfId="0"/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1" borderId="5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36" borderId="5" xfId="0" applyFill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0" fillId="31" borderId="75" xfId="0" applyFill="1" applyBorder="1" applyAlignment="1">
      <alignment horizontal="left"/>
    </xf>
    <xf numFmtId="0" fontId="0" fillId="31" borderId="29" xfId="0" applyFill="1" applyBorder="1" applyAlignment="1">
      <alignment horizontal="left"/>
    </xf>
    <xf numFmtId="0" fontId="79" fillId="0" borderId="0" xfId="2" applyFont="1" applyAlignment="1">
      <alignment horizontal="left"/>
    </xf>
    <xf numFmtId="0" fontId="72" fillId="0" borderId="3" xfId="0" applyFont="1" applyBorder="1" applyAlignment="1">
      <alignment horizontal="center"/>
    </xf>
    <xf numFmtId="0" fontId="0" fillId="36" borderId="65" xfId="0" applyFill="1" applyBorder="1" applyAlignment="1">
      <alignment horizontal="center"/>
    </xf>
    <xf numFmtId="0" fontId="0" fillId="36" borderId="53" xfId="0" applyFill="1" applyBorder="1" applyAlignment="1">
      <alignment horizontal="center"/>
    </xf>
    <xf numFmtId="0" fontId="0" fillId="36" borderId="76" xfId="0" applyFill="1" applyBorder="1" applyAlignment="1">
      <alignment horizontal="center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6" borderId="3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1" borderId="32" xfId="0" applyFill="1" applyBorder="1" applyAlignment="1">
      <alignment horizontal="left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14" borderId="8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0" fillId="25" borderId="2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4" xfId="0" applyFill="1" applyBorder="1" applyAlignment="1">
      <alignment horizontal="center" vertical="center"/>
    </xf>
    <xf numFmtId="0" fontId="29" fillId="0" borderId="0" xfId="0" applyNumberFormat="1" applyFont="1" applyBorder="1" applyAlignment="1">
      <alignment horizontal="right"/>
    </xf>
    <xf numFmtId="0" fontId="73" fillId="0" borderId="0" xfId="0" applyNumberFormat="1" applyFont="1"/>
    <xf numFmtId="0" fontId="73" fillId="0" borderId="15" xfId="0" applyNumberFormat="1" applyFont="1" applyBorder="1"/>
    <xf numFmtId="0" fontId="73" fillId="0" borderId="8" xfId="0" applyNumberFormat="1" applyFont="1" applyBorder="1"/>
    <xf numFmtId="0" fontId="73" fillId="0" borderId="8" xfId="0" applyNumberFormat="1" applyFont="1" applyBorder="1" applyAlignment="1">
      <alignment horizontal="right"/>
    </xf>
    <xf numFmtId="0" fontId="91" fillId="0" borderId="8" xfId="0" applyNumberFormat="1" applyFont="1" applyBorder="1" applyAlignment="1">
      <alignment horizontal="left"/>
    </xf>
    <xf numFmtId="0" fontId="91" fillId="0" borderId="9" xfId="0" applyNumberFormat="1" applyFont="1" applyBorder="1"/>
    <xf numFmtId="0" fontId="73" fillId="0" borderId="7" xfId="0" applyNumberFormat="1" applyFont="1" applyBorder="1"/>
    <xf numFmtId="0" fontId="73" fillId="0" borderId="12" xfId="0" quotePrefix="1" applyNumberFormat="1" applyFont="1" applyBorder="1" applyAlignment="1">
      <alignment horizontal="left"/>
    </xf>
    <xf numFmtId="0" fontId="91" fillId="0" borderId="0" xfId="0" applyNumberFormat="1" applyFont="1" applyBorder="1"/>
    <xf numFmtId="0" fontId="91" fillId="0" borderId="12" xfId="0" applyNumberFormat="1" applyFont="1" applyBorder="1" applyAlignment="1">
      <alignment horizontal="left" vertical="center"/>
    </xf>
    <xf numFmtId="0" fontId="73" fillId="0" borderId="18" xfId="0" applyNumberFormat="1" applyFont="1" applyBorder="1"/>
    <xf numFmtId="0" fontId="73" fillId="0" borderId="19" xfId="0" applyNumberFormat="1" applyFont="1" applyBorder="1"/>
    <xf numFmtId="0" fontId="29" fillId="0" borderId="19" xfId="0" applyNumberFormat="1" applyFont="1" applyBorder="1" applyAlignment="1">
      <alignment vertical="center"/>
    </xf>
    <xf numFmtId="0" fontId="91" fillId="0" borderId="20" xfId="0" applyNumberFormat="1" applyFont="1" applyFill="1" applyBorder="1" applyAlignment="1">
      <alignment horizontal="left" vertical="center" wrapText="1"/>
    </xf>
    <xf numFmtId="0" fontId="73" fillId="0" borderId="12" xfId="0" applyNumberFormat="1" applyFont="1" applyBorder="1"/>
    <xf numFmtId="0" fontId="29" fillId="0" borderId="0" xfId="0" applyNumberFormat="1" applyFont="1" applyFill="1" applyBorder="1" applyAlignment="1">
      <alignment horizontal="right"/>
    </xf>
    <xf numFmtId="0" fontId="29" fillId="0" borderId="0" xfId="0" applyNumberFormat="1" applyFont="1" applyBorder="1" applyAlignment="1">
      <alignment horizontal="left"/>
    </xf>
    <xf numFmtId="0" fontId="73" fillId="0" borderId="12" xfId="0" applyNumberFormat="1" applyFont="1" applyBorder="1" applyAlignment="1">
      <alignment horizontal="center"/>
    </xf>
    <xf numFmtId="0" fontId="73" fillId="0" borderId="0" xfId="0" applyNumberFormat="1" applyFont="1" applyAlignment="1">
      <alignment horizontal="left"/>
    </xf>
    <xf numFmtId="0" fontId="73" fillId="0" borderId="0" xfId="0" applyNumberFormat="1" applyFont="1" applyFill="1" applyBorder="1"/>
    <xf numFmtId="0" fontId="9" fillId="0" borderId="0" xfId="0" applyNumberFormat="1" applyFont="1" applyBorder="1"/>
    <xf numFmtId="0" fontId="73" fillId="0" borderId="20" xfId="0" applyNumberFormat="1" applyFont="1" applyBorder="1" applyAlignment="1">
      <alignment horizontal="center"/>
    </xf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right"/>
    </xf>
    <xf numFmtId="0" fontId="91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73" fillId="0" borderId="0" xfId="0" applyNumberFormat="1" applyFont="1" applyFill="1" applyBorder="1" applyAlignment="1">
      <alignment horizontal="right"/>
    </xf>
    <xf numFmtId="0" fontId="73" fillId="0" borderId="0" xfId="0" applyNumberFormat="1" applyFont="1" applyFill="1" applyBorder="1" applyAlignment="1">
      <alignment horizontal="left"/>
    </xf>
    <xf numFmtId="0" fontId="92" fillId="0" borderId="0" xfId="0" applyNumberFormat="1" applyFont="1" applyFill="1" applyBorder="1" applyAlignment="1">
      <alignment horizontal="right"/>
    </xf>
    <xf numFmtId="1" fontId="73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center"/>
    </xf>
    <xf numFmtId="49" fontId="29" fillId="0" borderId="0" xfId="0" applyNumberFormat="1" applyFont="1" applyFill="1" applyBorder="1" applyAlignment="1">
      <alignment horizontal="center"/>
    </xf>
    <xf numFmtId="0" fontId="29" fillId="0" borderId="0" xfId="0" applyFont="1" applyFill="1" applyBorder="1" applyAlignment="1">
      <alignment horizontal="left" vertical="center"/>
    </xf>
    <xf numFmtId="1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left"/>
    </xf>
    <xf numFmtId="0" fontId="31" fillId="0" borderId="0" xfId="0" applyFont="1" applyFill="1" applyBorder="1"/>
    <xf numFmtId="0" fontId="31" fillId="0" borderId="0" xfId="0" applyFont="1" applyFill="1" applyBorder="1" applyAlignment="1">
      <alignment horizontal="left"/>
    </xf>
    <xf numFmtId="1" fontId="31" fillId="0" borderId="0" xfId="0" applyNumberFormat="1" applyFont="1" applyFill="1" applyBorder="1" applyAlignment="1">
      <alignment horizontal="center"/>
    </xf>
    <xf numFmtId="1" fontId="31" fillId="0" borderId="0" xfId="0" applyNumberFormat="1" applyFont="1" applyFill="1" applyBorder="1"/>
    <xf numFmtId="49" fontId="112" fillId="0" borderId="0" xfId="0" applyNumberFormat="1" applyFont="1" applyFill="1" applyBorder="1" applyAlignment="1">
      <alignment horizontal="right"/>
    </xf>
    <xf numFmtId="0" fontId="112" fillId="0" borderId="0" xfId="0" applyFont="1" applyFill="1" applyBorder="1" applyAlignment="1">
      <alignment horizontal="left"/>
    </xf>
    <xf numFmtId="49" fontId="73" fillId="0" borderId="0" xfId="0" applyNumberFormat="1" applyFont="1" applyFill="1" applyBorder="1" applyAlignment="1">
      <alignment horizontal="left"/>
    </xf>
    <xf numFmtId="0" fontId="90" fillId="0" borderId="0" xfId="0" applyFont="1" applyFill="1" applyBorder="1"/>
    <xf numFmtId="0" fontId="96" fillId="0" borderId="0" xfId="0" applyFont="1" applyFill="1" applyBorder="1" applyAlignment="1">
      <alignment horizontal="left"/>
    </xf>
    <xf numFmtId="10" fontId="73" fillId="0" borderId="0" xfId="0" applyNumberFormat="1" applyFont="1" applyFill="1" applyBorder="1" applyAlignment="1">
      <alignment horizontal="left"/>
    </xf>
    <xf numFmtId="0" fontId="73" fillId="0" borderId="0" xfId="0" quotePrefix="1" applyFont="1" applyFill="1" applyBorder="1"/>
    <xf numFmtId="0" fontId="91" fillId="0" borderId="0" xfId="0" applyFont="1" applyFill="1" applyBorder="1" applyAlignment="1">
      <alignment horizontal="left" vertical="center"/>
    </xf>
    <xf numFmtId="49" fontId="73" fillId="0" borderId="0" xfId="0" applyNumberFormat="1" applyFont="1" applyFill="1" applyBorder="1" applyAlignment="1">
      <alignment horizontal="right"/>
    </xf>
    <xf numFmtId="0" fontId="29" fillId="0" borderId="0" xfId="0" applyFont="1" applyFill="1" applyBorder="1" applyAlignment="1">
      <alignment vertical="center"/>
    </xf>
    <xf numFmtId="0" fontId="91" fillId="0" borderId="0" xfId="0" applyFont="1" applyFill="1" applyBorder="1" applyAlignment="1">
      <alignment vertical="center" wrapText="1"/>
    </xf>
    <xf numFmtId="2" fontId="73" fillId="0" borderId="0" xfId="0" applyNumberFormat="1" applyFont="1" applyFill="1" applyBorder="1" applyAlignment="1">
      <alignment horizontal="center"/>
    </xf>
    <xf numFmtId="49" fontId="31" fillId="0" borderId="0" xfId="0" applyNumberFormat="1" applyFont="1" applyFill="1" applyBorder="1"/>
    <xf numFmtId="49" fontId="90" fillId="0" borderId="0" xfId="0" applyNumberFormat="1" applyFont="1" applyFill="1" applyBorder="1"/>
    <xf numFmtId="49" fontId="29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left"/>
    </xf>
    <xf numFmtId="14" fontId="29" fillId="0" borderId="0" xfId="0" applyNumberFormat="1" applyFont="1" applyFill="1" applyBorder="1" applyAlignment="1"/>
    <xf numFmtId="0" fontId="29" fillId="0" borderId="0" xfId="0" applyFont="1" applyFill="1" applyBorder="1" applyAlignment="1"/>
    <xf numFmtId="0" fontId="90" fillId="8" borderId="47" xfId="0" applyFont="1" applyFill="1" applyBorder="1" applyAlignment="1"/>
    <xf numFmtId="0" fontId="90" fillId="8" borderId="51" xfId="0" applyFont="1" applyFill="1" applyBorder="1" applyAlignment="1"/>
    <xf numFmtId="0" fontId="90" fillId="5" borderId="5" xfId="0" applyFont="1" applyFill="1" applyBorder="1" applyAlignment="1"/>
    <xf numFmtId="0" fontId="90" fillId="0" borderId="19" xfId="0" applyFont="1" applyBorder="1"/>
    <xf numFmtId="0" fontId="73" fillId="0" borderId="9" xfId="0" applyNumberFormat="1" applyFont="1" applyBorder="1"/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19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charset val="204"/>
        <scheme val="none"/>
      </font>
      <alignment horizontal="left" vertical="top" textRotation="45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Данные!$A$255" lockText="1" noThreeD="1"/>
</file>

<file path=xl/ctrlProps/ctrlProp6.xml><?xml version="1.0" encoding="utf-8"?>
<formControlPr xmlns="http://schemas.microsoft.com/office/spreadsheetml/2009/9/main" objectType="CheckBox" fmlaLink="Данные!$R$156" lockText="1" noThreeD="1"/>
</file>

<file path=xl/ctrlProps/ctrlProp7.xml><?xml version="1.0" encoding="utf-8"?>
<formControlPr xmlns="http://schemas.microsoft.com/office/spreadsheetml/2009/9/main" objectType="CheckBox" fmlaLink="Данные!$B$38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fmlaLink="$N$26" lockText="1" noThreeD="1"/>
</file>

<file path=xl/ctrlProps/ctrlProp10.xml><?xml version="1.0" encoding="utf-8"?>
<formControlPr xmlns="http://schemas.microsoft.com/office/spreadsheetml/2009/9/main" objectType="CheckBox" checked="Checked" fmlaLink="Сухарь!$B$77" lockText="1" noThreeD="1"/>
</file>

<file path=xl/ctrlProps/ctrlProp11.xml><?xml version="1.0" encoding="utf-8"?>
<formControlPr xmlns="http://schemas.microsoft.com/office/spreadsheetml/2009/9/main" objectType="CheckBox" checked="Checked" fmlaLink="$A$1" lockText="1" noThreeD="1"/>
</file>

<file path=xl/ctrlProps/ctrlProp12.xml><?xml version="1.0" encoding="utf-8"?>
<formControlPr xmlns="http://schemas.microsoft.com/office/spreadsheetml/2009/9/main" objectType="CheckBox" fmlaLink="$AB$25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25</xdr:row>
      <xdr:rowOff>9359</xdr:rowOff>
    </xdr:from>
    <xdr:to>
      <xdr:col>7</xdr:col>
      <xdr:colOff>450574</xdr:colOff>
      <xdr:row>28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8435" y="4793394"/>
          <a:ext cx="2829339" cy="593615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185739</xdr:rowOff>
    </xdr:from>
    <xdr:to>
      <xdr:col>7</xdr:col>
      <xdr:colOff>437760</xdr:colOff>
      <xdr:row>32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142920</xdr:rowOff>
    </xdr:from>
    <xdr:to>
      <xdr:col>7</xdr:col>
      <xdr:colOff>319087</xdr:colOff>
      <xdr:row>27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142920</xdr:rowOff>
    </xdr:from>
    <xdr:to>
      <xdr:col>7</xdr:col>
      <xdr:colOff>323640</xdr:colOff>
      <xdr:row>32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24</xdr:row>
      <xdr:rowOff>32660</xdr:rowOff>
    </xdr:from>
    <xdr:to>
      <xdr:col>4</xdr:col>
      <xdr:colOff>3854</xdr:colOff>
      <xdr:row>33</xdr:row>
      <xdr:rowOff>170330</xdr:rowOff>
    </xdr:to>
    <xdr:sp macro="" textlink="">
      <xdr:nvSpPr>
        <xdr:cNvPr id="6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488264" y="5226739"/>
          <a:ext cx="1933812" cy="64611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28</xdr:row>
      <xdr:rowOff>6114</xdr:rowOff>
    </xdr:from>
    <xdr:to>
      <xdr:col>7</xdr:col>
      <xdr:colOff>555128</xdr:colOff>
      <xdr:row>29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28</xdr:row>
      <xdr:rowOff>0</xdr:rowOff>
    </xdr:from>
    <xdr:to>
      <xdr:col>7</xdr:col>
      <xdr:colOff>447675</xdr:colOff>
      <xdr:row>29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23</xdr:row>
      <xdr:rowOff>5760</xdr:rowOff>
    </xdr:from>
    <xdr:to>
      <xdr:col>7</xdr:col>
      <xdr:colOff>440280</xdr:colOff>
      <xdr:row>25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23</xdr:row>
      <xdr:rowOff>17641</xdr:rowOff>
    </xdr:from>
    <xdr:to>
      <xdr:col>7</xdr:col>
      <xdr:colOff>443484</xdr:colOff>
      <xdr:row>23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23</xdr:row>
      <xdr:rowOff>17640</xdr:rowOff>
    </xdr:from>
    <xdr:to>
      <xdr:col>4</xdr:col>
      <xdr:colOff>5760</xdr:colOff>
      <xdr:row>23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25</xdr:row>
      <xdr:rowOff>0</xdr:rowOff>
    </xdr:from>
    <xdr:to>
      <xdr:col>8</xdr:col>
      <xdr:colOff>574431</xdr:colOff>
      <xdr:row>25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696108" y="4800600"/>
          <a:ext cx="113026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26</xdr:row>
      <xdr:rowOff>46853</xdr:rowOff>
    </xdr:from>
    <xdr:to>
      <xdr:col>7</xdr:col>
      <xdr:colOff>566775</xdr:colOff>
      <xdr:row>28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28</xdr:row>
      <xdr:rowOff>0</xdr:rowOff>
    </xdr:from>
    <xdr:to>
      <xdr:col>7</xdr:col>
      <xdr:colOff>791307</xdr:colOff>
      <xdr:row>28</xdr:row>
      <xdr:rowOff>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41985" y="539847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30</xdr:row>
      <xdr:rowOff>5861</xdr:rowOff>
    </xdr:from>
    <xdr:to>
      <xdr:col>7</xdr:col>
      <xdr:colOff>773723</xdr:colOff>
      <xdr:row>30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32</xdr:row>
      <xdr:rowOff>192101</xdr:rowOff>
    </xdr:from>
    <xdr:to>
      <xdr:col>8</xdr:col>
      <xdr:colOff>569899</xdr:colOff>
      <xdr:row>32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28</xdr:row>
      <xdr:rowOff>7991</xdr:rowOff>
    </xdr:from>
    <xdr:to>
      <xdr:col>7</xdr:col>
      <xdr:colOff>701944</xdr:colOff>
      <xdr:row>30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486822</xdr:colOff>
      <xdr:row>25</xdr:row>
      <xdr:rowOff>15120</xdr:rowOff>
    </xdr:from>
    <xdr:to>
      <xdr:col>8</xdr:col>
      <xdr:colOff>490062</xdr:colOff>
      <xdr:row>32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27</xdr:row>
      <xdr:rowOff>89337</xdr:rowOff>
    </xdr:from>
    <xdr:to>
      <xdr:col>8</xdr:col>
      <xdr:colOff>23812</xdr:colOff>
      <xdr:row>27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27</xdr:row>
      <xdr:rowOff>88920</xdr:rowOff>
    </xdr:from>
    <xdr:to>
      <xdr:col>7</xdr:col>
      <xdr:colOff>429480</xdr:colOff>
      <xdr:row>27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27</xdr:row>
      <xdr:rowOff>88920</xdr:rowOff>
    </xdr:from>
    <xdr:to>
      <xdr:col>7</xdr:col>
      <xdr:colOff>566737</xdr:colOff>
      <xdr:row>27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88901</xdr:colOff>
      <xdr:row>24</xdr:row>
      <xdr:rowOff>21066</xdr:rowOff>
    </xdr:from>
    <xdr:to>
      <xdr:col>4</xdr:col>
      <xdr:colOff>532395</xdr:colOff>
      <xdr:row>24</xdr:row>
      <xdr:rowOff>22480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211119" y="4537648"/>
          <a:ext cx="1080803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24</xdr:row>
      <xdr:rowOff>35169</xdr:rowOff>
    </xdr:from>
    <xdr:to>
      <xdr:col>4</xdr:col>
      <xdr:colOff>311189</xdr:colOff>
      <xdr:row>25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25</xdr:row>
          <xdr:rowOff>0</xdr:rowOff>
        </xdr:from>
        <xdr:to>
          <xdr:col>14</xdr:col>
          <xdr:colOff>358140</xdr:colOff>
          <xdr:row>26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206829</xdr:colOff>
      <xdr:row>33</xdr:row>
      <xdr:rowOff>170330</xdr:rowOff>
    </xdr:from>
    <xdr:to>
      <xdr:col>3</xdr:col>
      <xdr:colOff>323055</xdr:colOff>
      <xdr:row>35</xdr:row>
      <xdr:rowOff>108857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6" idx="0"/>
        </xdr:cNvCxnSpPr>
      </xdr:nvCxnSpPr>
      <xdr:spPr>
        <a:xfrm flipH="1">
          <a:off x="1338943" y="6679987"/>
          <a:ext cx="116226" cy="34129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786063</xdr:colOff>
      <xdr:row>33</xdr:row>
      <xdr:rowOff>32085</xdr:rowOff>
    </xdr:from>
    <xdr:to>
      <xdr:col>18</xdr:col>
      <xdr:colOff>1171073</xdr:colOff>
      <xdr:row>33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0</xdr:rowOff>
        </xdr:from>
        <xdr:to>
          <xdr:col>14</xdr:col>
          <xdr:colOff>236220</xdr:colOff>
          <xdr:row>27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</xdr:row>
          <xdr:rowOff>182880</xdr:rowOff>
        </xdr:from>
        <xdr:to>
          <xdr:col>14</xdr:col>
          <xdr:colOff>693420</xdr:colOff>
          <xdr:row>20</xdr:row>
          <xdr:rowOff>68580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685479</xdr:colOff>
      <xdr:row>27</xdr:row>
      <xdr:rowOff>163286</xdr:rowOff>
    </xdr:from>
    <xdr:to>
      <xdr:col>8</xdr:col>
      <xdr:colOff>832436</xdr:colOff>
      <xdr:row>28</xdr:row>
      <xdr:rowOff>185057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943279" y="5486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27</xdr:row>
      <xdr:rowOff>185057</xdr:rowOff>
    </xdr:from>
    <xdr:to>
      <xdr:col>8</xdr:col>
      <xdr:colOff>141515</xdr:colOff>
      <xdr:row>29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416943</xdr:colOff>
      <xdr:row>29</xdr:row>
      <xdr:rowOff>2434</xdr:rowOff>
    </xdr:from>
    <xdr:to>
      <xdr:col>7</xdr:col>
      <xdr:colOff>606910</xdr:colOff>
      <xdr:row>29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262539</xdr:colOff>
      <xdr:row>35</xdr:row>
      <xdr:rowOff>32659</xdr:rowOff>
    </xdr:from>
    <xdr:to>
      <xdr:col>12</xdr:col>
      <xdr:colOff>827314</xdr:colOff>
      <xdr:row>36</xdr:row>
      <xdr:rowOff>43543</xdr:rowOff>
    </xdr:to>
    <xdr:sp macro="[0]!Holod1_vtulka" textlink="">
      <xdr:nvSpPr>
        <xdr:cNvPr id="26" name="Прямоугольни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8568339" y="6955973"/>
          <a:ext cx="836918" cy="206827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27</xdr:row>
          <xdr:rowOff>144780</xdr:rowOff>
        </xdr:from>
        <xdr:to>
          <xdr:col>13</xdr:col>
          <xdr:colOff>830580</xdr:colOff>
          <xdr:row>30</xdr:row>
          <xdr:rowOff>22860</xdr:rowOff>
        </xdr:to>
        <xdr:sp macro="" textlink="">
          <xdr:nvSpPr>
            <xdr:cNvPr id="1040" name="Button 16" descr="Начать с начала.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с начала.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762000</xdr:colOff>
      <xdr:row>2</xdr:row>
      <xdr:rowOff>163286</xdr:rowOff>
    </xdr:from>
    <xdr:to>
      <xdr:col>10</xdr:col>
      <xdr:colOff>125186</xdr:colOff>
      <xdr:row>3</xdr:row>
      <xdr:rowOff>185057</xdr:rowOff>
    </xdr:to>
    <xdr:sp macro="" textlink="">
      <xdr:nvSpPr>
        <xdr:cNvPr id="75" name="Rectangle 100">
          <a:extLst>
            <a:ext uri="{FF2B5EF4-FFF2-40B4-BE49-F238E27FC236}">
              <a16:creationId xmlns:a16="http://schemas.microsoft.com/office/drawing/2014/main" id="{6AA9CF38-E43C-4662-9472-8D6C1274220C}"/>
            </a:ext>
          </a:extLst>
        </xdr:cNvPr>
        <xdr:cNvSpPr/>
      </xdr:nvSpPr>
      <xdr:spPr>
        <a:xfrm>
          <a:off x="6988629" y="576943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751114</xdr:colOff>
      <xdr:row>3</xdr:row>
      <xdr:rowOff>174172</xdr:rowOff>
    </xdr:from>
    <xdr:to>
      <xdr:col>9</xdr:col>
      <xdr:colOff>898071</xdr:colOff>
      <xdr:row>5</xdr:row>
      <xdr:rowOff>0</xdr:rowOff>
    </xdr:to>
    <xdr:sp macro="" textlink="">
      <xdr:nvSpPr>
        <xdr:cNvPr id="79" name="Rectangle 100">
          <a:extLst>
            <a:ext uri="{FF2B5EF4-FFF2-40B4-BE49-F238E27FC236}">
              <a16:creationId xmlns:a16="http://schemas.microsoft.com/office/drawing/2014/main" id="{6DA8267B-EA3C-48ED-A54A-09123DA2AE66}"/>
            </a:ext>
          </a:extLst>
        </xdr:cNvPr>
        <xdr:cNvSpPr/>
      </xdr:nvSpPr>
      <xdr:spPr>
        <a:xfrm>
          <a:off x="6977743" y="783772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54407</xdr:rowOff>
    </xdr:from>
    <xdr:to>
      <xdr:col>3</xdr:col>
      <xdr:colOff>567676</xdr:colOff>
      <xdr:row>27</xdr:row>
      <xdr:rowOff>171097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12695126" y="4297546"/>
          <a:ext cx="1915010" cy="56105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319098</xdr:colOff>
      <xdr:row>22</xdr:row>
      <xdr:rowOff>12121</xdr:rowOff>
    </xdr:from>
    <xdr:to>
      <xdr:col>8</xdr:col>
      <xdr:colOff>414138</xdr:colOff>
      <xdr:row>23</xdr:row>
      <xdr:rowOff>175218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16485189" y="4519090"/>
          <a:ext cx="36121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438809</xdr:colOff>
      <xdr:row>20</xdr:row>
      <xdr:rowOff>76048</xdr:rowOff>
    </xdr:from>
    <xdr:to>
      <xdr:col>8</xdr:col>
      <xdr:colOff>438809</xdr:colOff>
      <xdr:row>22</xdr:row>
      <xdr:rowOff>76048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16737989" y="4053688"/>
          <a:ext cx="0" cy="396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438638</xdr:colOff>
      <xdr:row>21</xdr:row>
      <xdr:rowOff>97364</xdr:rowOff>
    </xdr:from>
    <xdr:to>
      <xdr:col>9</xdr:col>
      <xdr:colOff>310227</xdr:colOff>
      <xdr:row>21</xdr:row>
      <xdr:rowOff>97364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16737818" y="4273124"/>
          <a:ext cx="45832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434417</xdr:colOff>
      <xdr:row>21</xdr:row>
      <xdr:rowOff>97234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6618746" y="42728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53921</xdr:rowOff>
    </xdr:from>
    <xdr:to>
      <xdr:col>4</xdr:col>
      <xdr:colOff>380741</xdr:colOff>
      <xdr:row>18</xdr:row>
      <xdr:rowOff>55171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616996" y="3620081"/>
          <a:ext cx="715965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52388</xdr:rowOff>
    </xdr:from>
    <xdr:to>
      <xdr:col>4</xdr:col>
      <xdr:colOff>311189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4263409" y="3618548"/>
          <a:ext cx="0" cy="17240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287151</xdr:colOff>
      <xdr:row>27</xdr:row>
      <xdr:rowOff>171097</xdr:rowOff>
    </xdr:from>
    <xdr:to>
      <xdr:col>3</xdr:col>
      <xdr:colOff>429354</xdr:colOff>
      <xdr:row>29</xdr:row>
      <xdr:rowOff>171095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>
          <a:stCxn id="4" idx="0"/>
        </xdr:cNvCxnSpPr>
      </xdr:nvCxnSpPr>
      <xdr:spPr>
        <a:xfrm>
          <a:off x="13652631" y="5535577"/>
          <a:ext cx="142203" cy="3962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573932</xdr:colOff>
      <xdr:row>20</xdr:row>
      <xdr:rowOff>191311</xdr:rowOff>
    </xdr:from>
    <xdr:to>
      <xdr:col>8</xdr:col>
      <xdr:colOff>366618</xdr:colOff>
      <xdr:row>22</xdr:row>
      <xdr:rowOff>24001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3939412" y="4168951"/>
          <a:ext cx="2726386" cy="228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579028</xdr:colOff>
      <xdr:row>23</xdr:row>
      <xdr:rowOff>163338</xdr:rowOff>
    </xdr:from>
    <xdr:to>
      <xdr:col>8</xdr:col>
      <xdr:colOff>366618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3944508" y="4735338"/>
          <a:ext cx="2721290" cy="2350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48127</xdr:colOff>
      <xdr:row>27</xdr:row>
      <xdr:rowOff>24063</xdr:rowOff>
    </xdr:from>
    <xdr:to>
      <xdr:col>5</xdr:col>
      <xdr:colOff>8965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4000347" y="5388543"/>
          <a:ext cx="547578" cy="3811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335536</xdr:colOff>
      <xdr:row>21</xdr:row>
      <xdr:rowOff>188259</xdr:rowOff>
    </xdr:from>
    <xdr:to>
      <xdr:col>2</xdr:col>
      <xdr:colOff>335536</xdr:colOff>
      <xdr:row>23</xdr:row>
      <xdr:rowOff>188259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3114276" y="4364019"/>
          <a:ext cx="0" cy="3962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243840</xdr:colOff>
      <xdr:row>21</xdr:row>
      <xdr:rowOff>194022</xdr:rowOff>
    </xdr:from>
    <xdr:to>
      <xdr:col>2</xdr:col>
      <xdr:colOff>536603</xdr:colOff>
      <xdr:row>21</xdr:row>
      <xdr:rowOff>195943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13022580" y="4369782"/>
          <a:ext cx="292763" cy="192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246199</xdr:colOff>
      <xdr:row>24</xdr:row>
      <xdr:rowOff>0</xdr:rowOff>
    </xdr:from>
    <xdr:to>
      <xdr:col>2</xdr:col>
      <xdr:colOff>531223</xdr:colOff>
      <xdr:row>24</xdr:row>
      <xdr:rowOff>4648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>
          <a:off x="13024939" y="4770120"/>
          <a:ext cx="285024" cy="4648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531226</xdr:colOff>
      <xdr:row>20</xdr:row>
      <xdr:rowOff>194419</xdr:rowOff>
    </xdr:from>
    <xdr:to>
      <xdr:col>3</xdr:col>
      <xdr:colOff>561703</xdr:colOff>
      <xdr:row>25</xdr:row>
      <xdr:rowOff>4354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3218307" y="4263718"/>
          <a:ext cx="800535" cy="617217"/>
        </a:xfrm>
        <a:prstGeom prst="trapezoid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195943</xdr:colOff>
      <xdr:row>0</xdr:row>
      <xdr:rowOff>185056</xdr:rowOff>
    </xdr:from>
    <xdr:to>
      <xdr:col>14</xdr:col>
      <xdr:colOff>164171</xdr:colOff>
      <xdr:row>8</xdr:row>
      <xdr:rowOff>10885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8273585" y="-708015"/>
          <a:ext cx="1426029" cy="32121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573740</xdr:colOff>
      <xdr:row>26</xdr:row>
      <xdr:rowOff>5861</xdr:rowOff>
    </xdr:from>
    <xdr:to>
      <xdr:col>6</xdr:col>
      <xdr:colOff>433799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815787" y="5205390"/>
          <a:ext cx="3867283" cy="38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26</xdr:row>
      <xdr:rowOff>22680</xdr:rowOff>
    </xdr:from>
    <xdr:to>
      <xdr:col>3</xdr:col>
      <xdr:colOff>0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752600" y="5280480"/>
          <a:ext cx="0" cy="3770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34200</xdr:rowOff>
    </xdr:from>
    <xdr:to>
      <xdr:col>2</xdr:col>
      <xdr:colOff>11160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>
          <a:off x="1192260" y="5292000"/>
          <a:ext cx="0" cy="3467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0</xdr:rowOff>
    </xdr:from>
    <xdr:to>
      <xdr:col>3</xdr:col>
      <xdr:colOff>5760</xdr:colOff>
      <xdr:row>22</xdr:row>
      <xdr:rowOff>190440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V="1">
          <a:off x="175836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430255</xdr:colOff>
      <xdr:row>21</xdr:row>
      <xdr:rowOff>748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099887" y="3991222"/>
          <a:ext cx="5890" cy="56072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593588</xdr:colOff>
      <xdr:row>21</xdr:row>
      <xdr:rowOff>28526</xdr:rowOff>
    </xdr:from>
    <xdr:to>
      <xdr:col>6</xdr:col>
      <xdr:colOff>401863</xdr:colOff>
      <xdr:row>21</xdr:row>
      <xdr:rowOff>34646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>
          <a:off x="1562417" y="4230412"/>
          <a:ext cx="3084875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11880</xdr:colOff>
      <xdr:row>21</xdr:row>
      <xdr:rowOff>0</xdr:rowOff>
    </xdr:from>
    <xdr:to>
      <xdr:col>2</xdr:col>
      <xdr:colOff>11880</xdr:colOff>
      <xdr:row>22</xdr:row>
      <xdr:rowOff>190440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119298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11880</xdr:colOff>
      <xdr:row>21</xdr:row>
      <xdr:rowOff>17640</xdr:rowOff>
    </xdr:from>
    <xdr:to>
      <xdr:col>3</xdr:col>
      <xdr:colOff>5760</xdr:colOff>
      <xdr:row>21</xdr:row>
      <xdr:rowOff>17640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1192980" y="4275315"/>
          <a:ext cx="56538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538200</xdr:colOff>
      <xdr:row>24</xdr:row>
      <xdr:rowOff>23040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 flipV="1">
          <a:off x="4614900" y="4880790"/>
          <a:ext cx="0" cy="40005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</xdr:col>
      <xdr:colOff>0</xdr:colOff>
      <xdr:row>36</xdr:row>
      <xdr:rowOff>8280</xdr:rowOff>
    </xdr:from>
    <xdr:to>
      <xdr:col>10</xdr:col>
      <xdr:colOff>0</xdr:colOff>
      <xdr:row>36</xdr:row>
      <xdr:rowOff>17930</xdr:rowOff>
    </xdr:to>
    <xdr:cxnSp macro="">
      <xdr:nvCxnSpPr>
        <xdr:cNvPr id="78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>
          <a:off x="609600" y="6247715"/>
          <a:ext cx="5809129" cy="9650"/>
        </a:xfrm>
        <a:prstGeom prst="straightConnector1">
          <a:avLst/>
        </a:prstGeom>
        <a:ln w="19050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281443</xdr:colOff>
      <xdr:row>34</xdr:row>
      <xdr:rowOff>9361</xdr:rowOff>
    </xdr:from>
    <xdr:to>
      <xdr:col>3</xdr:col>
      <xdr:colOff>369283</xdr:colOff>
      <xdr:row>35</xdr:row>
      <xdr:rowOff>98612</xdr:rowOff>
    </xdr:to>
    <xdr:sp macro="" textlink="">
      <xdr:nvSpPr>
        <xdr:cNvPr id="79" name="Выноска 1 (без границы) 27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1500643" y="6293620"/>
          <a:ext cx="715369" cy="268545"/>
        </a:xfrm>
        <a:prstGeom prst="callout1">
          <a:avLst>
            <a:gd name="adj1" fmla="val -136476"/>
            <a:gd name="adj2" fmla="val -17240"/>
            <a:gd name="adj3" fmla="val 87132"/>
            <a:gd name="adj4" fmla="val 14334"/>
          </a:avLst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en-US" sz="1100" b="0" u="sng" strike="noStrike" spc="-1">
              <a:solidFill>
                <a:schemeClr val="dk1"/>
              </a:solidFill>
              <a:uFillTx/>
              <a:latin typeface="Calibri"/>
            </a:rPr>
            <a:t>&lt;1:10</a:t>
          </a:r>
          <a:endParaRPr lang="ru-RU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11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143436</xdr:rowOff>
    </xdr:from>
    <xdr:to>
      <xdr:col>3</xdr:col>
      <xdr:colOff>730</xdr:colOff>
      <xdr:row>33</xdr:row>
      <xdr:rowOff>173855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V="1">
          <a:off x="2074857" y="6295192"/>
          <a:ext cx="0" cy="42442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672353</xdr:colOff>
      <xdr:row>31</xdr:row>
      <xdr:rowOff>17930</xdr:rowOff>
    </xdr:from>
    <xdr:to>
      <xdr:col>3</xdr:col>
      <xdr:colOff>675270</xdr:colOff>
      <xdr:row>34</xdr:row>
      <xdr:rowOff>8965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V="1">
          <a:off x="2519082" y="5764306"/>
          <a:ext cx="2917" cy="52891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4355</xdr:rowOff>
    </xdr:from>
    <xdr:to>
      <xdr:col>3</xdr:col>
      <xdr:colOff>433753</xdr:colOff>
      <xdr:row>22</xdr:row>
      <xdr:rowOff>5863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942011" y="4428309"/>
          <a:ext cx="568736" cy="1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7620</xdr:rowOff>
        </xdr:from>
        <xdr:to>
          <xdr:col>13</xdr:col>
          <xdr:colOff>647700</xdr:colOff>
          <xdr:row>15</xdr:row>
          <xdr:rowOff>7620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8365</xdr:colOff>
      <xdr:row>16</xdr:row>
      <xdr:rowOff>157442</xdr:rowOff>
    </xdr:from>
    <xdr:to>
      <xdr:col>4</xdr:col>
      <xdr:colOff>12032</xdr:colOff>
      <xdr:row>21</xdr:row>
      <xdr:rowOff>152000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CxnSpPr/>
      </xdr:nvCxnSpPr>
      <xdr:spPr>
        <a:xfrm>
          <a:off x="1275691" y="3233516"/>
          <a:ext cx="3667" cy="953073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129540</xdr:colOff>
      <xdr:row>19</xdr:row>
      <xdr:rowOff>7620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3480" y="3596640"/>
          <a:ext cx="2270760" cy="762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</xdr:row>
      <xdr:rowOff>4354</xdr:rowOff>
    </xdr:from>
    <xdr:to>
      <xdr:col>6</xdr:col>
      <xdr:colOff>11491</xdr:colOff>
      <xdr:row>21</xdr:row>
      <xdr:rowOff>173976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CxnSpPr/>
      </xdr:nvCxnSpPr>
      <xdr:spPr>
        <a:xfrm>
          <a:off x="3387634" y="3248297"/>
          <a:ext cx="11491" cy="9446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21</xdr:row>
      <xdr:rowOff>159385</xdr:rowOff>
    </xdr:from>
    <xdr:to>
      <xdr:col>6</xdr:col>
      <xdr:colOff>9844</xdr:colOff>
      <xdr:row>24</xdr:row>
      <xdr:rowOff>83820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CxnSpPr/>
      </xdr:nvCxnSpPr>
      <xdr:spPr>
        <a:xfrm flipH="1">
          <a:off x="3337560" y="4037965"/>
          <a:ext cx="2224" cy="473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8964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17</xdr:row>
      <xdr:rowOff>104502</xdr:rowOff>
    </xdr:from>
    <xdr:to>
      <xdr:col>7</xdr:col>
      <xdr:colOff>78377</xdr:colOff>
      <xdr:row>20</xdr:row>
      <xdr:rowOff>91439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618411" y="3348445"/>
          <a:ext cx="0" cy="56170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149</xdr:row>
      <xdr:rowOff>0</xdr:rowOff>
    </xdr:from>
    <xdr:to>
      <xdr:col>4</xdr:col>
      <xdr:colOff>701040</xdr:colOff>
      <xdr:row>152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11</xdr:row>
          <xdr:rowOff>7620</xdr:rowOff>
        </xdr:from>
        <xdr:to>
          <xdr:col>15</xdr:col>
          <xdr:colOff>83820</xdr:colOff>
          <xdr:row>12</xdr:row>
          <xdr:rowOff>30480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4354</xdr:colOff>
      <xdr:row>16</xdr:row>
      <xdr:rowOff>10510</xdr:rowOff>
    </xdr:from>
    <xdr:to>
      <xdr:col>6</xdr:col>
      <xdr:colOff>5255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265595" y="3042744"/>
          <a:ext cx="2113481" cy="26486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20</xdr:row>
      <xdr:rowOff>91440</xdr:rowOff>
    </xdr:from>
    <xdr:to>
      <xdr:col>6</xdr:col>
      <xdr:colOff>13064</xdr:colOff>
      <xdr:row>21</xdr:row>
      <xdr:rowOff>165463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275806" y="3910149"/>
          <a:ext cx="2116184" cy="27432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125</xdr:row>
      <xdr:rowOff>142435</xdr:rowOff>
    </xdr:from>
    <xdr:to>
      <xdr:col>4</xdr:col>
      <xdr:colOff>4354</xdr:colOff>
      <xdr:row>131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128</xdr:row>
      <xdr:rowOff>0</xdr:rowOff>
    </xdr:from>
    <xdr:to>
      <xdr:col>6</xdr:col>
      <xdr:colOff>89647</xdr:colOff>
      <xdr:row>128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126</xdr:row>
      <xdr:rowOff>4354</xdr:rowOff>
    </xdr:from>
    <xdr:to>
      <xdr:col>6</xdr:col>
      <xdr:colOff>11491</xdr:colOff>
      <xdr:row>130</xdr:row>
      <xdr:rowOff>173976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>
          <a:off x="3370729" y="3195789"/>
          <a:ext cx="11491" cy="9316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130</xdr:row>
      <xdr:rowOff>159385</xdr:rowOff>
    </xdr:from>
    <xdr:to>
      <xdr:col>6</xdr:col>
      <xdr:colOff>9844</xdr:colOff>
      <xdr:row>133</xdr:row>
      <xdr:rowOff>83820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 flipH="1">
          <a:off x="3378349" y="4112820"/>
          <a:ext cx="2224" cy="4623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130</xdr:row>
      <xdr:rowOff>130151</xdr:rowOff>
    </xdr:from>
    <xdr:to>
      <xdr:col>3</xdr:col>
      <xdr:colOff>502358</xdr:colOff>
      <xdr:row>133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133</xdr:row>
      <xdr:rowOff>0</xdr:rowOff>
    </xdr:from>
    <xdr:to>
      <xdr:col>6</xdr:col>
      <xdr:colOff>8964</xdr:colOff>
      <xdr:row>133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126</xdr:row>
      <xdr:rowOff>93785</xdr:rowOff>
    </xdr:from>
    <xdr:to>
      <xdr:col>7</xdr:col>
      <xdr:colOff>169985</xdr:colOff>
      <xdr:row>126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129</xdr:row>
      <xdr:rowOff>94706</xdr:rowOff>
    </xdr:from>
    <xdr:to>
      <xdr:col>7</xdr:col>
      <xdr:colOff>216877</xdr:colOff>
      <xdr:row>129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126</xdr:row>
      <xdr:rowOff>104502</xdr:rowOff>
    </xdr:from>
    <xdr:to>
      <xdr:col>7</xdr:col>
      <xdr:colOff>78377</xdr:colOff>
      <xdr:row>129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3610471" y="3295937"/>
          <a:ext cx="0" cy="5517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124</xdr:row>
      <xdr:rowOff>178526</xdr:rowOff>
    </xdr:from>
    <xdr:to>
      <xdr:col>4</xdr:col>
      <xdr:colOff>123093</xdr:colOff>
      <xdr:row>124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131</xdr:row>
      <xdr:rowOff>0</xdr:rowOff>
    </xdr:from>
    <xdr:to>
      <xdr:col>4</xdr:col>
      <xdr:colOff>357554</xdr:colOff>
      <xdr:row>131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125</xdr:row>
      <xdr:rowOff>544</xdr:rowOff>
    </xdr:from>
    <xdr:to>
      <xdr:col>3</xdr:col>
      <xdr:colOff>180023</xdr:colOff>
      <xdr:row>130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131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126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616697</xdr:colOff>
      <xdr:row>126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125</xdr:row>
      <xdr:rowOff>0</xdr:rowOff>
    </xdr:from>
    <xdr:to>
      <xdr:col>6</xdr:col>
      <xdr:colOff>8709</xdr:colOff>
      <xdr:row>126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129</xdr:row>
      <xdr:rowOff>91440</xdr:rowOff>
    </xdr:from>
    <xdr:to>
      <xdr:col>6</xdr:col>
      <xdr:colOff>13064</xdr:colOff>
      <xdr:row>131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8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9181</xdr:colOff>
      <xdr:row>23</xdr:row>
      <xdr:rowOff>143151</xdr:rowOff>
    </xdr:from>
    <xdr:to>
      <xdr:col>8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8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602500</xdr:colOff>
      <xdr:row>18</xdr:row>
      <xdr:rowOff>1538</xdr:rowOff>
    </xdr:from>
    <xdr:to>
      <xdr:col>9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603623</xdr:colOff>
      <xdr:row>23</xdr:row>
      <xdr:rowOff>180659</xdr:rowOff>
    </xdr:from>
    <xdr:to>
      <xdr:col>9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424591</xdr:colOff>
      <xdr:row>18</xdr:row>
      <xdr:rowOff>8164</xdr:rowOff>
    </xdr:from>
    <xdr:to>
      <xdr:col>8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9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649475</xdr:colOff>
      <xdr:row>42</xdr:row>
      <xdr:rowOff>183931</xdr:rowOff>
    </xdr:from>
    <xdr:to>
      <xdr:col>20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8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8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7609</xdr:colOff>
      <xdr:row>19</xdr:row>
      <xdr:rowOff>163499</xdr:rowOff>
    </xdr:from>
    <xdr:to>
      <xdr:col>8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9181</xdr:colOff>
      <xdr:row>23</xdr:row>
      <xdr:rowOff>143151</xdr:rowOff>
    </xdr:from>
    <xdr:to>
      <xdr:col>24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715107</xdr:colOff>
      <xdr:row>25</xdr:row>
      <xdr:rowOff>7110</xdr:rowOff>
    </xdr:from>
    <xdr:to>
      <xdr:col>20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722244</xdr:colOff>
      <xdr:row>26</xdr:row>
      <xdr:rowOff>8021</xdr:rowOff>
    </xdr:from>
    <xdr:to>
      <xdr:col>24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723214</xdr:colOff>
      <xdr:row>15</xdr:row>
      <xdr:rowOff>155949</xdr:rowOff>
    </xdr:from>
    <xdr:to>
      <xdr:col>20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1164467</xdr:colOff>
      <xdr:row>15</xdr:row>
      <xdr:rowOff>141246</xdr:rowOff>
    </xdr:from>
    <xdr:to>
      <xdr:col>21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717481</xdr:colOff>
      <xdr:row>15</xdr:row>
      <xdr:rowOff>179939</xdr:rowOff>
    </xdr:from>
    <xdr:to>
      <xdr:col>20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409439</xdr:colOff>
      <xdr:row>20</xdr:row>
      <xdr:rowOff>3274</xdr:rowOff>
    </xdr:from>
    <xdr:to>
      <xdr:col>20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371061</xdr:colOff>
      <xdr:row>22</xdr:row>
      <xdr:rowOff>4138</xdr:rowOff>
    </xdr:from>
    <xdr:to>
      <xdr:col>20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539262</xdr:colOff>
      <xdr:row>20</xdr:row>
      <xdr:rowOff>5861</xdr:rowOff>
    </xdr:from>
    <xdr:to>
      <xdr:col>20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205408</xdr:colOff>
      <xdr:row>17</xdr:row>
      <xdr:rowOff>4488</xdr:rowOff>
    </xdr:from>
    <xdr:to>
      <xdr:col>20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212035</xdr:colOff>
      <xdr:row>25</xdr:row>
      <xdr:rowOff>5444</xdr:rowOff>
    </xdr:from>
    <xdr:to>
      <xdr:col>20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297857</xdr:colOff>
      <xdr:row>17</xdr:row>
      <xdr:rowOff>8531</xdr:rowOff>
    </xdr:from>
    <xdr:to>
      <xdr:col>19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602500</xdr:colOff>
      <xdr:row>18</xdr:row>
      <xdr:rowOff>1538</xdr:rowOff>
    </xdr:from>
    <xdr:to>
      <xdr:col>25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603623</xdr:colOff>
      <xdr:row>23</xdr:row>
      <xdr:rowOff>180659</xdr:rowOff>
    </xdr:from>
    <xdr:to>
      <xdr:col>25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424591</xdr:colOff>
      <xdr:row>18</xdr:row>
      <xdr:rowOff>8164</xdr:rowOff>
    </xdr:from>
    <xdr:to>
      <xdr:col>24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21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25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20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18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717175</xdr:colOff>
      <xdr:row>17</xdr:row>
      <xdr:rowOff>9525</xdr:rowOff>
    </xdr:from>
    <xdr:to>
      <xdr:col>24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719846</xdr:colOff>
      <xdr:row>22</xdr:row>
      <xdr:rowOff>11722</xdr:rowOff>
    </xdr:from>
    <xdr:to>
      <xdr:col>24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719847</xdr:colOff>
      <xdr:row>19</xdr:row>
      <xdr:rowOff>152400</xdr:rowOff>
    </xdr:from>
    <xdr:to>
      <xdr:col>20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4615</xdr:colOff>
      <xdr:row>20</xdr:row>
      <xdr:rowOff>0</xdr:rowOff>
    </xdr:from>
    <xdr:to>
      <xdr:col>24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636494</xdr:colOff>
      <xdr:row>21</xdr:row>
      <xdr:rowOff>8966</xdr:rowOff>
    </xdr:from>
    <xdr:to>
      <xdr:col>24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9360</xdr:colOff>
      <xdr:row>20</xdr:row>
      <xdr:rowOff>0</xdr:rowOff>
    </xdr:from>
    <xdr:to>
      <xdr:col>4</xdr:col>
      <xdr:colOff>9360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18720</xdr:colOff>
      <xdr:row>32</xdr:row>
      <xdr:rowOff>0</xdr:rowOff>
    </xdr:from>
    <xdr:to>
      <xdr:col>4</xdr:col>
      <xdr:colOff>18720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3249</xdr:colOff>
      <xdr:row>20</xdr:row>
      <xdr:rowOff>6739</xdr:rowOff>
    </xdr:from>
    <xdr:to>
      <xdr:col>8</xdr:col>
      <xdr:colOff>15849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1198070</xdr:colOff>
      <xdr:row>19</xdr:row>
      <xdr:rowOff>194022</xdr:rowOff>
    </xdr:from>
    <xdr:to>
      <xdr:col>7</xdr:col>
      <xdr:colOff>1207430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457459</xdr:colOff>
      <xdr:row>26</xdr:row>
      <xdr:rowOff>1635</xdr:rowOff>
    </xdr:from>
    <xdr:to>
      <xdr:col>8</xdr:col>
      <xdr:colOff>58994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0</xdr:colOff>
      <xdr:row>26</xdr:row>
      <xdr:rowOff>18720</xdr:rowOff>
    </xdr:from>
    <xdr:to>
      <xdr:col>4</xdr:col>
      <xdr:colOff>9360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9360</xdr:colOff>
      <xdr:row>27</xdr:row>
      <xdr:rowOff>152280</xdr:rowOff>
    </xdr:from>
    <xdr:to>
      <xdr:col>4</xdr:col>
      <xdr:colOff>266400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1543320" y="5762520"/>
          <a:ext cx="4622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4</xdr:col>
      <xdr:colOff>9360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8965</xdr:colOff>
      <xdr:row>25</xdr:row>
      <xdr:rowOff>142560</xdr:rowOff>
    </xdr:from>
    <xdr:to>
      <xdr:col>7</xdr:col>
      <xdr:colOff>9360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836894" y="4777313"/>
          <a:ext cx="395" cy="80769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587297</xdr:colOff>
      <xdr:row>29</xdr:row>
      <xdr:rowOff>0</xdr:rowOff>
    </xdr:from>
    <xdr:to>
      <xdr:col>7</xdr:col>
      <xdr:colOff>7433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25200</xdr:colOff>
      <xdr:row>31</xdr:row>
      <xdr:rowOff>183960</xdr:rowOff>
    </xdr:from>
    <xdr:to>
      <xdr:col>8</xdr:col>
      <xdr:colOff>56880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595190</xdr:colOff>
      <xdr:row>35</xdr:row>
      <xdr:rowOff>178132</xdr:rowOff>
    </xdr:from>
    <xdr:to>
      <xdr:col>8</xdr:col>
      <xdr:colOff>49962</xdr:colOff>
      <xdr:row>35</xdr:row>
      <xdr:rowOff>178132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4305799" y="7016254"/>
          <a:ext cx="5679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18720</xdr:colOff>
      <xdr:row>31</xdr:row>
      <xdr:rowOff>180720</xdr:rowOff>
    </xdr:from>
    <xdr:to>
      <xdr:col>8</xdr:col>
      <xdr:colOff>18720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5978520" y="4334040"/>
          <a:ext cx="285480" cy="5040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471167" y="5860101"/>
          <a:ext cx="285480" cy="44390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27</xdr:row>
          <xdr:rowOff>30480</xdr:rowOff>
        </xdr:from>
        <xdr:to>
          <xdr:col>13</xdr:col>
          <xdr:colOff>297180</xdr:colOff>
          <xdr:row>28</xdr:row>
          <xdr:rowOff>15240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27</xdr:row>
          <xdr:rowOff>7620</xdr:rowOff>
        </xdr:from>
        <xdr:to>
          <xdr:col>13</xdr:col>
          <xdr:colOff>533400</xdr:colOff>
          <xdr:row>28</xdr:row>
          <xdr:rowOff>22860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15</xdr:row>
      <xdr:rowOff>35858</xdr:rowOff>
    </xdr:from>
    <xdr:to>
      <xdr:col>12</xdr:col>
      <xdr:colOff>1111623</xdr:colOff>
      <xdr:row>15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8269</xdr:colOff>
      <xdr:row>39</xdr:row>
      <xdr:rowOff>82260</xdr:rowOff>
    </xdr:from>
    <xdr:to>
      <xdr:col>14</xdr:col>
      <xdr:colOff>19051</xdr:colOff>
      <xdr:row>58</xdr:row>
      <xdr:rowOff>149681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713869" y="7576754"/>
          <a:ext cx="3247040" cy="358542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30480</xdr:colOff>
      <xdr:row>31</xdr:row>
      <xdr:rowOff>67056</xdr:rowOff>
    </xdr:from>
    <xdr:to>
      <xdr:col>3</xdr:col>
      <xdr:colOff>7620</xdr:colOff>
      <xdr:row>36</xdr:row>
      <xdr:rowOff>129540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25958" y="6140958"/>
          <a:ext cx="1007364" cy="563880"/>
        </a:xfrm>
        <a:prstGeom prst="trapezoid">
          <a:avLst>
            <a:gd name="adj" fmla="val 20946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576943</xdr:colOff>
      <xdr:row>20</xdr:row>
      <xdr:rowOff>0</xdr:rowOff>
    </xdr:from>
    <xdr:to>
      <xdr:col>7</xdr:col>
      <xdr:colOff>10886</xdr:colOff>
      <xdr:row>25</xdr:row>
      <xdr:rowOff>185057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186543" y="3875314"/>
          <a:ext cx="3135086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185057</xdr:colOff>
      <xdr:row>21</xdr:row>
      <xdr:rowOff>10886</xdr:rowOff>
    </xdr:from>
    <xdr:to>
      <xdr:col>6</xdr:col>
      <xdr:colOff>0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00200" y="4082143"/>
          <a:ext cx="2111829" cy="772886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10885</xdr:colOff>
      <xdr:row>32</xdr:row>
      <xdr:rowOff>0</xdr:rowOff>
    </xdr:from>
    <xdr:to>
      <xdr:col>6</xdr:col>
      <xdr:colOff>598713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208314" y="6193971"/>
          <a:ext cx="3102428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174171</xdr:colOff>
      <xdr:row>33</xdr:row>
      <xdr:rowOff>21770</xdr:rowOff>
    </xdr:from>
    <xdr:to>
      <xdr:col>5</xdr:col>
      <xdr:colOff>925286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589314" y="6411684"/>
          <a:ext cx="2111829" cy="38100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34</xdr:row>
      <xdr:rowOff>134560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82</xdr:col>
      <xdr:colOff>2688</xdr:colOff>
      <xdr:row>13</xdr:row>
      <xdr:rowOff>71718</xdr:rowOff>
    </xdr:from>
    <xdr:to>
      <xdr:col>89</xdr:col>
      <xdr:colOff>349623</xdr:colOff>
      <xdr:row>30</xdr:row>
      <xdr:rowOff>161365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195206" y="2474259"/>
          <a:ext cx="4936865" cy="3200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  <sheetName val="Лист1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/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/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15AB-07F4-477D-AE48-83AE6447A814}" name="tbl_planki" displayName="tbl_planki" ref="L2:V131" totalsRowShown="0" headerRowDxfId="18" dataDxfId="17" tableBorderDxfId="16">
  <autoFilter ref="L2:V131" xr:uid="{3D586DF5-9C82-4B71-AF7E-E5649F47985F}"/>
  <tableColumns count="11">
    <tableColumn id="1" xr3:uid="{88E88D8C-A1D1-40D0-AA7E-3C644307B0D2}" name="Номер планки" dataDxfId="15">
      <calculatedColumnFormula>[1]Планки!H3</calculatedColumnFormula>
    </tableColumn>
    <tableColumn id="2" xr3:uid="{22F7D8E9-2AD8-414A-85D2-900628AF71D9}" name="Высота, Н" dataDxfId="14">
      <calculatedColumnFormula>[1]Планки!I3</calculatedColumnFormula>
    </tableColumn>
    <tableColumn id="3" xr3:uid="{9A17F85F-46C9-46DC-A428-73A7518CF5E1}" name="Высота прибыли, h1" dataDxfId="13">
      <calculatedColumnFormula>[1]Планки!J3</calculatedColumnFormula>
    </tableColumn>
    <tableColumn id="4" xr3:uid="{24049114-0085-4955-9BAE-3C212BBFBBA1}" name="Высота модели, h2" dataDxfId="12">
      <calculatedColumnFormula>[1]Планки!K3</calculatedColumnFormula>
    </tableColumn>
    <tableColumn id="5" xr3:uid="{6E0E5AF9-9D1A-45C4-92EB-A850D12D7798}" name="Ширина, L1" dataDxfId="11">
      <calculatedColumnFormula>[1]Планки!L3</calculatedColumnFormula>
    </tableColumn>
    <tableColumn id="6" xr3:uid="{9894FAFE-A69D-466D-9229-FEDB06B64B10}" name="Ширина, L2" dataDxfId="10">
      <calculatedColumnFormula>[1]Планки!M3</calculatedColumnFormula>
    </tableColumn>
    <tableColumn id="7" xr3:uid="{ECEC7C18-197A-4ECB-BBE3-D9422514279E}" name="Ширина, L3" dataDxfId="9">
      <calculatedColumnFormula>[1]Планки!N3</calculatedColumnFormula>
    </tableColumn>
    <tableColumn id="8" xr3:uid="{198700B1-15E5-4C28-8845-BE1183DDFFB8}" name="Толщина, L4" dataDxfId="8">
      <calculatedColumnFormula>[1]Планки!O3</calculatedColumnFormula>
    </tableColumn>
    <tableColumn id="9" xr3:uid="{D9937CC9-873F-4D09-B232-2221B9F7F05B}" name="Толщина, L5" dataDxfId="7">
      <calculatedColumnFormula>[1]Планки!P3</calculatedColumnFormula>
    </tableColumn>
    <tableColumn id="10" xr3:uid="{05DA301B-3E65-4CD5-9D0B-FF48A2AD2FD9}" name="Толщина, L6" dataDxfId="6">
      <calculatedColumnFormula>[1]Планки!Q3</calculatedColumnFormula>
    </tableColumn>
    <tableColumn id="11" xr3:uid="{47DBC23B-BCE7-499E-938E-CFA1041313E9}" name="Примечание" dataDxfId="5">
      <calculatedColumnFormula>[1]Планки!R3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8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9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AT79"/>
  <sheetViews>
    <sheetView tabSelected="1" zoomScale="70" zoomScaleNormal="70" workbookViewId="0">
      <selection activeCell="J35" sqref="J35"/>
    </sheetView>
  </sheetViews>
  <sheetFormatPr defaultColWidth="8.5546875" defaultRowHeight="15.6" x14ac:dyDescent="0.3"/>
  <cols>
    <col min="1" max="1" width="2.88671875" style="632" customWidth="1"/>
    <col min="2" max="2" width="5.109375" style="632" customWidth="1"/>
    <col min="3" max="3" width="8.5546875" style="632"/>
    <col min="4" max="4" width="9.33203125" style="632" customWidth="1"/>
    <col min="5" max="5" width="12.109375" style="632" customWidth="1"/>
    <col min="6" max="6" width="13.77734375" style="632" customWidth="1"/>
    <col min="7" max="7" width="12" style="632" customWidth="1"/>
    <col min="8" max="8" width="13.88671875" style="632" customWidth="1"/>
    <col min="9" max="9" width="13" style="632" customWidth="1"/>
    <col min="10" max="10" width="13.77734375" style="632" customWidth="1"/>
    <col min="11" max="11" width="16.5546875" style="632" customWidth="1"/>
    <col min="12" max="12" width="3.88671875" style="632" customWidth="1"/>
    <col min="13" max="13" width="26.88671875" style="632" customWidth="1"/>
    <col min="14" max="14" width="13.33203125" style="632" customWidth="1"/>
    <col min="15" max="15" width="10.33203125" style="632" customWidth="1"/>
    <col min="16" max="42" width="9.77734375" style="632" customWidth="1"/>
    <col min="43" max="16384" width="8.5546875" style="632"/>
  </cols>
  <sheetData>
    <row r="1" spans="1:46" ht="16.2" thickBot="1" x14ac:dyDescent="0.35">
      <c r="A1" s="1807"/>
      <c r="B1" s="1807"/>
      <c r="C1" s="1807"/>
      <c r="D1" s="1807"/>
      <c r="E1" s="1807"/>
      <c r="F1" s="1807"/>
      <c r="G1" s="1807"/>
      <c r="H1" s="1807"/>
      <c r="I1" s="1807"/>
      <c r="J1" s="1807"/>
      <c r="K1" s="1807" t="s">
        <v>404</v>
      </c>
      <c r="Q1" s="645"/>
      <c r="R1" s="645"/>
      <c r="S1" s="645"/>
      <c r="T1" s="645"/>
      <c r="U1" s="645"/>
      <c r="V1" s="645"/>
      <c r="W1" s="645"/>
      <c r="X1" s="645"/>
      <c r="Y1" s="645"/>
      <c r="Z1" s="645"/>
      <c r="AA1" s="645"/>
      <c r="AB1" s="645"/>
      <c r="AE1" s="1539"/>
      <c r="AF1" s="1539"/>
      <c r="AG1" s="1539"/>
      <c r="AH1" s="1539"/>
      <c r="AI1" s="1539"/>
      <c r="AJ1" s="1539"/>
      <c r="AK1" s="1539"/>
      <c r="AL1" s="1539"/>
      <c r="AM1" s="1539"/>
      <c r="AN1" s="1539"/>
      <c r="AO1" s="1539"/>
      <c r="AP1" s="1539"/>
      <c r="AQ1" s="1539"/>
      <c r="AR1" s="1539"/>
      <c r="AS1" s="1539"/>
      <c r="AT1" s="1539"/>
    </row>
    <row r="2" spans="1:46" ht="16.2" thickBot="1" x14ac:dyDescent="0.35">
      <c r="A2" s="1807"/>
      <c r="B2" s="1808"/>
      <c r="C2" s="1809"/>
      <c r="D2" s="1809"/>
      <c r="E2" s="1809"/>
      <c r="F2" s="1809" t="s">
        <v>0</v>
      </c>
      <c r="G2" s="1809"/>
      <c r="H2" s="1809"/>
      <c r="I2" s="1809"/>
      <c r="J2" s="1809"/>
      <c r="K2" s="1870"/>
      <c r="M2" s="831" t="s">
        <v>1163</v>
      </c>
      <c r="N2" s="964"/>
      <c r="O2" s="965" t="s">
        <v>1077</v>
      </c>
      <c r="Q2" s="645"/>
      <c r="R2" s="645"/>
      <c r="S2" s="645"/>
      <c r="T2" s="645"/>
      <c r="U2" s="645"/>
      <c r="V2" s="645"/>
      <c r="W2" s="645"/>
      <c r="X2" s="645"/>
      <c r="Y2" s="645"/>
      <c r="Z2" s="645"/>
      <c r="AA2" s="645"/>
      <c r="AB2" s="1851"/>
      <c r="AE2" s="1539"/>
      <c r="AF2" s="1539"/>
      <c r="AG2" s="1539"/>
      <c r="AH2" s="1539"/>
      <c r="AI2" s="1539"/>
      <c r="AJ2" s="1539"/>
      <c r="AK2" s="1539"/>
      <c r="AL2" s="1539"/>
      <c r="AM2" s="1539"/>
      <c r="AN2" s="1539"/>
      <c r="AO2" s="1539"/>
      <c r="AP2" s="1539"/>
      <c r="AQ2" s="1539"/>
      <c r="AR2" s="1539"/>
      <c r="AS2" s="1539"/>
      <c r="AT2" s="1539"/>
    </row>
    <row r="3" spans="1:46" x14ac:dyDescent="0.3">
      <c r="A3" s="1807"/>
      <c r="B3" s="1808"/>
      <c r="C3" s="1809" t="s">
        <v>2</v>
      </c>
      <c r="D3" s="1809"/>
      <c r="E3" s="1809"/>
      <c r="F3" s="1809"/>
      <c r="G3" s="1810" t="s">
        <v>1305</v>
      </c>
      <c r="H3" s="1810"/>
      <c r="I3" s="1809"/>
      <c r="J3" s="1811" t="s">
        <v>428</v>
      </c>
      <c r="K3" s="1812"/>
      <c r="M3" s="802" t="s">
        <v>1300</v>
      </c>
      <c r="N3" s="962">
        <f>IF(O3=0,ROUNDUP((N15+N21*2)/0.985,0),O3)</f>
        <v>729</v>
      </c>
      <c r="O3" s="837"/>
      <c r="Q3" s="645"/>
      <c r="R3" s="645"/>
      <c r="S3" s="645"/>
      <c r="T3" s="645"/>
      <c r="U3" s="645"/>
      <c r="V3" s="1831"/>
      <c r="W3" s="645"/>
      <c r="X3" s="645"/>
      <c r="Y3" s="708"/>
      <c r="Z3" s="1832"/>
      <c r="AA3" s="645"/>
      <c r="AB3" s="645"/>
      <c r="AE3" s="1539"/>
      <c r="AF3" s="1539"/>
      <c r="AG3" s="1539"/>
      <c r="AH3" s="1539"/>
      <c r="AI3" s="1539"/>
      <c r="AJ3" s="1539"/>
      <c r="AK3" s="1539"/>
      <c r="AL3" s="1539"/>
      <c r="AM3" s="1539"/>
      <c r="AN3" s="1539"/>
      <c r="AO3" s="1539"/>
      <c r="AP3" s="1539"/>
      <c r="AQ3" s="1539"/>
      <c r="AR3" s="1539"/>
      <c r="AS3" s="1539"/>
      <c r="AT3" s="1539"/>
    </row>
    <row r="4" spans="1:46" x14ac:dyDescent="0.3">
      <c r="A4" s="1807"/>
      <c r="B4" s="1813"/>
      <c r="C4" s="1506" t="s">
        <v>1294</v>
      </c>
      <c r="D4" s="1506"/>
      <c r="E4" s="1506"/>
      <c r="F4" s="1506"/>
      <c r="G4" s="1806" t="s">
        <v>1307</v>
      </c>
      <c r="H4" s="641"/>
      <c r="I4" s="1506"/>
      <c r="J4" s="1506" t="s">
        <v>774</v>
      </c>
      <c r="K4" s="1814" t="str">
        <f>_xlfn.CEILING.MATH(N3,1)&amp;" x "&amp;_xlfn.CEILING.MATH(N5,5)</f>
        <v>729 x 190</v>
      </c>
      <c r="M4" s="802" t="s">
        <v>5</v>
      </c>
      <c r="N4" s="963">
        <f>ROUNDUP(I29/0.994,0)</f>
        <v>483</v>
      </c>
      <c r="O4" s="837"/>
      <c r="Q4" s="645"/>
      <c r="R4" s="645"/>
      <c r="S4" s="645"/>
      <c r="T4" s="645"/>
      <c r="U4" s="645"/>
      <c r="V4" s="1830"/>
      <c r="W4" s="645"/>
      <c r="X4" s="645"/>
      <c r="Y4" s="645"/>
      <c r="Z4" s="1854"/>
      <c r="AA4" s="645"/>
      <c r="AB4" s="645"/>
      <c r="AE4" s="1539"/>
      <c r="AF4" s="1539"/>
      <c r="AG4" s="1539"/>
      <c r="AH4" s="1539"/>
      <c r="AI4" s="1539"/>
      <c r="AJ4" s="1539"/>
      <c r="AK4" s="1539"/>
      <c r="AL4" s="1539"/>
      <c r="AM4" s="1539"/>
      <c r="AN4" s="1539"/>
      <c r="AO4" s="1539"/>
      <c r="AP4" s="1539"/>
      <c r="AQ4" s="1539"/>
      <c r="AR4" s="1539"/>
      <c r="AS4" s="1539"/>
      <c r="AT4" s="1539"/>
    </row>
    <row r="5" spans="1:46" x14ac:dyDescent="0.3">
      <c r="A5" s="1807"/>
      <c r="B5" s="1813"/>
      <c r="C5" s="1506" t="s">
        <v>6</v>
      </c>
      <c r="D5" s="1506"/>
      <c r="E5" s="1506"/>
      <c r="F5" s="1506"/>
      <c r="G5" s="641" t="s">
        <v>1306</v>
      </c>
      <c r="H5" s="641"/>
      <c r="I5" s="1506"/>
      <c r="J5" s="1815" t="s">
        <v>1295</v>
      </c>
      <c r="K5" s="1816" t="str">
        <f>_xlfn.FLOOR.MATH(N4,5)&amp;" мм., "</f>
        <v xml:space="preserve">480 мм., </v>
      </c>
      <c r="M5" s="802" t="s">
        <v>8</v>
      </c>
      <c r="N5" s="962">
        <f>ROUNDUP((N17+N22+N21+N24+N25)/0.985,0)</f>
        <v>189</v>
      </c>
      <c r="O5" s="837"/>
      <c r="Q5" s="645"/>
      <c r="R5" s="645"/>
      <c r="S5" s="645"/>
      <c r="T5" s="645"/>
      <c r="U5" s="645"/>
      <c r="V5" s="1831"/>
      <c r="W5" s="645"/>
      <c r="X5" s="645"/>
      <c r="Y5" s="1832"/>
      <c r="Z5" s="1855"/>
      <c r="AA5" s="645"/>
      <c r="AB5" s="645"/>
      <c r="AE5" s="1539"/>
      <c r="AF5" s="1539"/>
      <c r="AG5" s="1539"/>
      <c r="AH5" s="1539"/>
      <c r="AI5" s="1539"/>
      <c r="AJ5" s="1539"/>
      <c r="AK5" s="1539"/>
      <c r="AL5" s="1539"/>
      <c r="AM5" s="1539"/>
      <c r="AN5" s="1539"/>
      <c r="AO5" s="1539"/>
      <c r="AP5" s="1539"/>
      <c r="AQ5" s="1539"/>
      <c r="AR5" s="1539"/>
      <c r="AS5" s="1539"/>
      <c r="AT5" s="1539"/>
    </row>
    <row r="6" spans="1:46" ht="15" customHeight="1" thickBot="1" x14ac:dyDescent="0.35">
      <c r="A6" s="1807"/>
      <c r="B6" s="1817"/>
      <c r="C6" s="1818" t="s">
        <v>10</v>
      </c>
      <c r="D6" s="1818"/>
      <c r="E6" s="1818"/>
      <c r="F6" s="1818"/>
      <c r="G6" s="818">
        <v>23</v>
      </c>
      <c r="H6" s="818"/>
      <c r="I6" s="1818"/>
      <c r="J6" s="1819"/>
      <c r="K6" s="1820" t="str">
        <f>"Н = "&amp;N6+(F23+15)+H27</f>
        <v>Н = 597</v>
      </c>
      <c r="M6" s="807" t="s">
        <v>14</v>
      </c>
      <c r="N6" s="1540">
        <f>Данные!F35</f>
        <v>315</v>
      </c>
      <c r="O6" s="837"/>
      <c r="Q6" s="645"/>
      <c r="R6" s="645"/>
      <c r="S6" s="645"/>
      <c r="T6" s="645"/>
      <c r="U6" s="645"/>
      <c r="V6" s="1856"/>
      <c r="W6" s="645"/>
      <c r="X6" s="645"/>
      <c r="Y6" s="1857"/>
      <c r="Z6" s="1858"/>
      <c r="AA6" s="645"/>
      <c r="AB6" s="1851"/>
      <c r="AE6" s="1539"/>
      <c r="AF6" s="1539"/>
      <c r="AG6" s="1539"/>
      <c r="AH6" s="1539"/>
      <c r="AI6" s="1539"/>
      <c r="AJ6" s="1539"/>
      <c r="AK6" s="1539"/>
      <c r="AL6" s="1539"/>
      <c r="AM6" s="1539"/>
      <c r="AN6" s="1539"/>
      <c r="AO6" s="1539"/>
      <c r="AP6" s="1539"/>
      <c r="AQ6" s="1539"/>
      <c r="AR6" s="1539"/>
      <c r="AS6" s="1539"/>
      <c r="AT6" s="1539"/>
    </row>
    <row r="7" spans="1:46" x14ac:dyDescent="0.3">
      <c r="A7" s="1807"/>
      <c r="B7" s="1813"/>
      <c r="C7" s="1506"/>
      <c r="D7" s="1506"/>
      <c r="E7" s="1506"/>
      <c r="F7" s="1506"/>
      <c r="G7" s="641"/>
      <c r="H7" s="641"/>
      <c r="I7" s="1506"/>
      <c r="J7" s="1506"/>
      <c r="K7" s="1821"/>
      <c r="M7" s="807" t="s">
        <v>860</v>
      </c>
      <c r="N7" s="985">
        <f>ROUND(((J29+Данные!F32*2)-I29)/2,1)</f>
        <v>122</v>
      </c>
      <c r="Q7" s="645"/>
      <c r="R7" s="645"/>
      <c r="S7" s="645"/>
      <c r="T7" s="645"/>
      <c r="U7" s="645"/>
      <c r="V7" s="645"/>
      <c r="W7" s="645"/>
      <c r="X7" s="645"/>
      <c r="Y7" s="645"/>
      <c r="Z7" s="645"/>
      <c r="AA7" s="645"/>
      <c r="AB7" s="1851"/>
      <c r="AE7" s="1539"/>
      <c r="AF7" s="1539"/>
      <c r="AG7" s="1539"/>
      <c r="AH7" s="1539"/>
      <c r="AI7" s="1539"/>
      <c r="AJ7" s="1539"/>
      <c r="AK7" s="1539"/>
      <c r="AL7" s="1539"/>
      <c r="AM7" s="1539"/>
      <c r="AN7" s="1539"/>
      <c r="AO7" s="1539"/>
      <c r="AP7" s="1539"/>
      <c r="AQ7" s="1539"/>
      <c r="AR7" s="1539"/>
      <c r="AS7" s="1539"/>
      <c r="AT7" s="1539"/>
    </row>
    <row r="8" spans="1:46" x14ac:dyDescent="0.3">
      <c r="A8" s="1807"/>
      <c r="B8" s="1813"/>
      <c r="C8" s="1506" t="s">
        <v>16</v>
      </c>
      <c r="D8" s="1506"/>
      <c r="E8" s="1506"/>
      <c r="F8" s="1506"/>
      <c r="G8" s="1822" t="s">
        <v>28</v>
      </c>
      <c r="H8" s="641"/>
      <c r="I8" s="1823"/>
      <c r="J8" s="641" t="s">
        <v>1293</v>
      </c>
      <c r="K8" s="1824">
        <f>ROUND(G9/G15,2)</f>
        <v>0.16</v>
      </c>
      <c r="M8" s="804" t="s">
        <v>12</v>
      </c>
      <c r="N8" s="805">
        <f>VLOOKUP(G8,Данные!A3:I27,9,FALSE())</f>
        <v>7.5</v>
      </c>
      <c r="Q8" s="645"/>
      <c r="R8" s="645"/>
      <c r="S8" s="645"/>
      <c r="T8" s="645"/>
      <c r="U8" s="645"/>
      <c r="V8" s="810"/>
      <c r="W8" s="1833"/>
      <c r="X8" s="1833"/>
      <c r="Y8" s="1831"/>
      <c r="Z8" s="1859"/>
      <c r="AA8" s="645"/>
      <c r="AB8" s="1851"/>
      <c r="AE8" s="1539"/>
      <c r="AF8" s="1539"/>
      <c r="AG8" s="1539"/>
      <c r="AH8" s="1539"/>
      <c r="AI8" s="1539"/>
      <c r="AJ8" s="1539"/>
      <c r="AK8" s="1539"/>
      <c r="AL8" s="1539"/>
      <c r="AM8" s="1539"/>
      <c r="AN8" s="1539"/>
      <c r="AO8" s="1539"/>
      <c r="AP8" s="1539"/>
      <c r="AQ8" s="1539"/>
      <c r="AR8" s="1539"/>
      <c r="AS8" s="1539"/>
      <c r="AT8" s="1539"/>
    </row>
    <row r="9" spans="1:46" x14ac:dyDescent="0.3">
      <c r="A9" s="1807"/>
      <c r="B9" s="1813"/>
      <c r="C9" s="1506" t="s">
        <v>19</v>
      </c>
      <c r="D9" s="1506"/>
      <c r="E9" s="1506"/>
      <c r="F9" s="1506"/>
      <c r="G9" s="1806">
        <f>IF(N19&lt;&gt;0,N19,IF(N18&lt;100,ROUNDUP(N18,1),ROUNDUP(N18,0)))</f>
        <v>213</v>
      </c>
      <c r="H9" s="641"/>
      <c r="I9" s="1825"/>
      <c r="J9" s="641"/>
      <c r="K9" s="1824"/>
      <c r="M9" s="802" t="s">
        <v>1301</v>
      </c>
      <c r="N9" s="811">
        <f>N3+Данные!F32+E25+Данные!F35/D36/2</f>
        <v>793.25</v>
      </c>
      <c r="Q9" s="645"/>
      <c r="R9" s="645"/>
      <c r="S9" s="645"/>
      <c r="T9" s="645"/>
      <c r="U9" s="645"/>
      <c r="V9" s="1834"/>
      <c r="W9" s="1835"/>
      <c r="X9" s="1501"/>
      <c r="Y9" s="1831"/>
      <c r="Z9" s="1859"/>
      <c r="AA9" s="645"/>
      <c r="AB9" s="645"/>
      <c r="AE9" s="1539"/>
      <c r="AF9" s="1539"/>
      <c r="AG9" s="1539"/>
      <c r="AH9" s="1539"/>
      <c r="AI9" s="1539"/>
      <c r="AJ9" s="1539"/>
      <c r="AK9" s="1539"/>
      <c r="AL9" s="1539"/>
      <c r="AM9" s="1539"/>
      <c r="AN9" s="1539"/>
      <c r="AO9" s="1539"/>
      <c r="AP9" s="1539"/>
      <c r="AQ9" s="1539"/>
      <c r="AR9" s="1539"/>
      <c r="AS9" s="1539"/>
      <c r="AT9" s="1539"/>
    </row>
    <row r="10" spans="1:46" x14ac:dyDescent="0.3">
      <c r="A10" s="1807"/>
      <c r="B10" s="1813"/>
      <c r="C10" s="1506" t="s">
        <v>22</v>
      </c>
      <c r="D10" s="1506"/>
      <c r="E10" s="1506"/>
      <c r="F10" s="1506"/>
      <c r="G10" s="1829">
        <f>ROUNDUP(N10,0)</f>
        <v>346</v>
      </c>
      <c r="H10" s="641"/>
      <c r="I10" s="1506"/>
      <c r="J10" s="641" t="s">
        <v>23</v>
      </c>
      <c r="K10" s="1824">
        <f>ROUND(G9/G17,2)</f>
        <v>0.16</v>
      </c>
      <c r="L10" s="813"/>
      <c r="M10" s="804" t="s">
        <v>22</v>
      </c>
      <c r="N10" s="835">
        <f>Данные!B34</f>
        <v>345.25773494000379</v>
      </c>
      <c r="O10" s="969"/>
      <c r="Q10" s="645"/>
      <c r="R10" s="645"/>
      <c r="S10" s="645"/>
      <c r="T10" s="645"/>
      <c r="U10" s="645"/>
      <c r="V10" s="1836"/>
      <c r="W10" s="1501"/>
      <c r="X10" s="645"/>
      <c r="Y10" s="1831"/>
      <c r="Z10" s="1859"/>
      <c r="AA10" s="645"/>
      <c r="AB10" s="1851"/>
      <c r="AE10" s="1539"/>
      <c r="AF10" s="1539"/>
      <c r="AG10" s="1539"/>
      <c r="AH10" s="1539"/>
      <c r="AI10" s="1539"/>
      <c r="AJ10" s="1539"/>
      <c r="AK10" s="1539"/>
      <c r="AL10" s="1539"/>
      <c r="AM10" s="1539"/>
      <c r="AN10" s="1539"/>
      <c r="AO10" s="1539"/>
      <c r="AP10" s="1539"/>
      <c r="AQ10" s="1539"/>
      <c r="AR10" s="1539"/>
      <c r="AS10" s="1539"/>
      <c r="AT10" s="1539"/>
    </row>
    <row r="11" spans="1:46" x14ac:dyDescent="0.3">
      <c r="A11" s="1807"/>
      <c r="B11" s="1813"/>
      <c r="C11" s="1506" t="s">
        <v>80</v>
      </c>
      <c r="D11" s="1506"/>
      <c r="E11" s="1506"/>
      <c r="F11" s="1506"/>
      <c r="G11" s="1806">
        <f>ROUND(G10/G18,0)</f>
        <v>346</v>
      </c>
      <c r="H11" s="641"/>
      <c r="I11" s="1506"/>
      <c r="J11" s="641"/>
      <c r="K11" s="1824"/>
      <c r="M11" s="804" t="s">
        <v>24</v>
      </c>
      <c r="N11" s="835">
        <f>Данные!B35</f>
        <v>904.4164936061469</v>
      </c>
      <c r="Q11" s="645"/>
      <c r="R11" s="645"/>
      <c r="S11" s="645"/>
      <c r="T11" s="645"/>
      <c r="U11" s="645"/>
      <c r="V11" s="1836"/>
      <c r="W11" s="1501"/>
      <c r="X11" s="645"/>
      <c r="Y11" s="1831"/>
      <c r="Z11" s="1859"/>
      <c r="AA11" s="645"/>
      <c r="AB11" s="1851"/>
      <c r="AE11" s="1539"/>
      <c r="AF11" s="1539"/>
      <c r="AG11" s="1539"/>
      <c r="AH11" s="1539"/>
      <c r="AI11" s="1539"/>
      <c r="AJ11" s="1539"/>
      <c r="AK11" s="1539"/>
      <c r="AL11" s="1539"/>
      <c r="AM11" s="1539"/>
      <c r="AN11" s="1539"/>
      <c r="AO11" s="1539"/>
      <c r="AP11" s="1539"/>
      <c r="AQ11" s="1539"/>
      <c r="AR11" s="1539"/>
      <c r="AS11" s="1539"/>
      <c r="AT11" s="1539"/>
    </row>
    <row r="12" spans="1:46" x14ac:dyDescent="0.3">
      <c r="A12" s="1807"/>
      <c r="B12" s="1813"/>
      <c r="C12" s="1506" t="s">
        <v>24</v>
      </c>
      <c r="D12" s="1506"/>
      <c r="E12" s="1506"/>
      <c r="F12" s="1506"/>
      <c r="G12" s="1829">
        <f>ROUNDUP(N11,0)</f>
        <v>905</v>
      </c>
      <c r="H12" s="641"/>
      <c r="I12" s="1506"/>
      <c r="J12" s="1506"/>
      <c r="K12" s="1824"/>
      <c r="M12" s="811" t="s">
        <v>339</v>
      </c>
      <c r="N12" s="804">
        <f>Данные!B31</f>
        <v>45.11</v>
      </c>
      <c r="Q12" s="645"/>
      <c r="R12" s="645"/>
      <c r="S12" s="645"/>
      <c r="T12" s="645"/>
      <c r="U12" s="645"/>
      <c r="V12" s="1837"/>
      <c r="W12" s="1501"/>
      <c r="X12" s="645"/>
      <c r="Y12" s="645"/>
      <c r="Z12" s="1859"/>
      <c r="AA12" s="645"/>
      <c r="AB12" s="1851"/>
      <c r="AE12" s="1539"/>
      <c r="AF12" s="1539"/>
      <c r="AG12" s="1539"/>
      <c r="AH12" s="1539"/>
      <c r="AI12" s="1539"/>
      <c r="AJ12" s="1539"/>
      <c r="AK12" s="1539"/>
      <c r="AL12" s="1539"/>
      <c r="AM12" s="1539"/>
      <c r="AN12" s="1539"/>
      <c r="AO12" s="1539"/>
      <c r="AP12" s="1539"/>
      <c r="AQ12" s="1539"/>
      <c r="AR12" s="1539"/>
      <c r="AS12" s="1539"/>
      <c r="AT12" s="1539"/>
    </row>
    <row r="13" spans="1:46" x14ac:dyDescent="0.3">
      <c r="A13" s="1807"/>
      <c r="B13" s="1813"/>
      <c r="C13" s="1826" t="s">
        <v>339</v>
      </c>
      <c r="D13" s="1826"/>
      <c r="E13" s="1826"/>
      <c r="F13" s="1506"/>
      <c r="G13" s="1806">
        <f>ROUNDUP(N12,0)</f>
        <v>46</v>
      </c>
      <c r="H13" s="641"/>
      <c r="I13" s="1506"/>
      <c r="J13" s="1506"/>
      <c r="K13" s="1824"/>
      <c r="M13" s="814"/>
      <c r="N13" s="965"/>
      <c r="Q13" s="645"/>
      <c r="R13" s="645"/>
      <c r="S13" s="645"/>
      <c r="T13" s="645"/>
      <c r="U13" s="645"/>
      <c r="V13" s="1834"/>
      <c r="W13" s="1501"/>
      <c r="X13" s="645"/>
      <c r="Y13" s="645"/>
      <c r="Z13" s="1859"/>
      <c r="AA13" s="645"/>
      <c r="AB13" s="1851"/>
      <c r="AE13" s="1539"/>
      <c r="AF13" s="1539"/>
      <c r="AG13" s="1539"/>
      <c r="AH13" s="1539"/>
      <c r="AI13" s="1539"/>
      <c r="AJ13" s="1539"/>
      <c r="AK13" s="1539"/>
      <c r="AL13" s="1539"/>
      <c r="AM13" s="1539"/>
      <c r="AN13" s="1539"/>
      <c r="AO13" s="1539"/>
      <c r="AP13" s="1539"/>
      <c r="AQ13" s="1539"/>
      <c r="AR13" s="1539"/>
      <c r="AS13" s="1539"/>
      <c r="AT13" s="1539"/>
    </row>
    <row r="14" spans="1:46" x14ac:dyDescent="0.3">
      <c r="A14" s="1807"/>
      <c r="B14" s="1813"/>
      <c r="C14" s="1506" t="s">
        <v>27</v>
      </c>
      <c r="D14" s="1506"/>
      <c r="E14" s="1506"/>
      <c r="F14" s="1506"/>
      <c r="G14" s="1829">
        <f>G10+G12+G13</f>
        <v>1297</v>
      </c>
      <c r="H14" s="641"/>
      <c r="I14" s="1506"/>
      <c r="J14" s="1827"/>
      <c r="K14" s="1821"/>
      <c r="M14" s="805" t="s">
        <v>84</v>
      </c>
      <c r="N14" s="927"/>
      <c r="Q14" s="645"/>
      <c r="R14" s="645"/>
      <c r="S14" s="645"/>
      <c r="T14" s="645"/>
      <c r="U14" s="645"/>
      <c r="V14" s="1834"/>
      <c r="W14" s="1501"/>
      <c r="X14" s="645"/>
      <c r="Y14" s="645"/>
      <c r="Z14" s="645"/>
      <c r="AA14" s="645"/>
      <c r="AB14" s="1851"/>
      <c r="AE14" s="1539"/>
      <c r="AF14" s="1539"/>
      <c r="AG14" s="1539"/>
      <c r="AH14" s="1539"/>
      <c r="AI14" s="1539"/>
      <c r="AJ14" s="1539"/>
      <c r="AK14" s="1539"/>
      <c r="AL14" s="1539"/>
      <c r="AM14" s="1539"/>
      <c r="AN14" s="1539"/>
      <c r="AO14" s="1539"/>
      <c r="AP14" s="1539"/>
      <c r="AQ14" s="1539"/>
      <c r="AR14" s="1539"/>
      <c r="AS14" s="1539"/>
      <c r="AT14" s="1539"/>
    </row>
    <row r="15" spans="1:46" x14ac:dyDescent="0.3">
      <c r="A15" s="1807"/>
      <c r="B15" s="1813"/>
      <c r="C15" s="1506" t="s">
        <v>29</v>
      </c>
      <c r="D15" s="1506"/>
      <c r="E15" s="1506"/>
      <c r="F15" s="1506"/>
      <c r="G15" s="1806">
        <f>ROUNDUP(G14/G18,0)</f>
        <v>1297</v>
      </c>
      <c r="H15" s="641"/>
      <c r="I15" s="1506"/>
      <c r="J15" s="1506"/>
      <c r="K15" s="1821"/>
      <c r="M15" s="802" t="s">
        <v>1300</v>
      </c>
      <c r="N15" s="710">
        <v>700</v>
      </c>
      <c r="Q15" s="645"/>
      <c r="R15" s="645"/>
      <c r="S15" s="645"/>
      <c r="T15" s="645"/>
      <c r="U15" s="645"/>
      <c r="V15" s="1834"/>
      <c r="W15" s="1501"/>
      <c r="X15" s="645"/>
      <c r="Y15" s="645"/>
      <c r="Z15" s="645"/>
      <c r="AA15" s="645"/>
      <c r="AB15" s="645"/>
      <c r="AE15" s="1539"/>
      <c r="AF15" s="1539"/>
      <c r="AG15" s="1539"/>
      <c r="AH15" s="1539"/>
      <c r="AI15" s="1539"/>
      <c r="AJ15" s="1539"/>
      <c r="AK15" s="1539"/>
      <c r="AL15" s="1539"/>
      <c r="AM15" s="1539"/>
      <c r="AN15" s="1539"/>
      <c r="AO15" s="1539"/>
      <c r="AP15" s="1539"/>
      <c r="AQ15" s="1539"/>
      <c r="AR15" s="1539"/>
      <c r="AS15" s="1539"/>
      <c r="AT15" s="1539"/>
    </row>
    <row r="16" spans="1:46" x14ac:dyDescent="0.3">
      <c r="A16" s="1807"/>
      <c r="B16" s="1813"/>
      <c r="C16" s="1506" t="s">
        <v>32</v>
      </c>
      <c r="D16" s="1506"/>
      <c r="E16" s="1506"/>
      <c r="F16" s="1506"/>
      <c r="G16" s="1806">
        <f>ROUND(G14*1.04,0)</f>
        <v>1349</v>
      </c>
      <c r="H16" s="641"/>
      <c r="I16" s="1807"/>
      <c r="J16" s="1506"/>
      <c r="K16" s="1824"/>
      <c r="M16" s="802" t="s">
        <v>5</v>
      </c>
      <c r="N16" s="710">
        <v>500</v>
      </c>
      <c r="Q16" s="645"/>
      <c r="R16" s="645"/>
      <c r="S16" s="645"/>
      <c r="T16" s="645"/>
      <c r="U16" s="645"/>
      <c r="V16" s="1834"/>
      <c r="W16" s="1501"/>
      <c r="X16" s="645"/>
      <c r="Y16" s="645"/>
      <c r="Z16" s="1838"/>
      <c r="AA16" s="645"/>
      <c r="AB16" s="645"/>
      <c r="AE16" s="1539"/>
      <c r="AF16" s="1539"/>
      <c r="AG16" s="1539"/>
      <c r="AH16" s="1539"/>
      <c r="AI16" s="1539"/>
      <c r="AJ16" s="1539"/>
      <c r="AK16" s="1539"/>
      <c r="AL16" s="1539"/>
      <c r="AM16" s="1539"/>
      <c r="AN16" s="1539"/>
      <c r="AO16" s="1539"/>
      <c r="AP16" s="1539"/>
      <c r="AQ16" s="1539"/>
      <c r="AR16" s="1539"/>
      <c r="AS16" s="1539"/>
      <c r="AT16" s="1539"/>
    </row>
    <row r="17" spans="1:46" ht="15" customHeight="1" x14ac:dyDescent="0.3">
      <c r="A17" s="1807"/>
      <c r="B17" s="1813"/>
      <c r="C17" s="1506" t="s">
        <v>34</v>
      </c>
      <c r="D17" s="1506"/>
      <c r="E17" s="1506"/>
      <c r="F17" s="1506"/>
      <c r="G17" s="1806">
        <f>ROUNDUP(G16/G18,0)</f>
        <v>1349</v>
      </c>
      <c r="H17" s="641"/>
      <c r="I17" s="1506"/>
      <c r="J17" s="1506"/>
      <c r="K17" s="1824"/>
      <c r="M17" s="802" t="s">
        <v>8</v>
      </c>
      <c r="N17" s="710">
        <v>150</v>
      </c>
      <c r="Q17" s="645"/>
      <c r="R17" s="645"/>
      <c r="S17" s="645"/>
      <c r="T17" s="645"/>
      <c r="U17" s="645"/>
      <c r="V17" s="1834"/>
      <c r="W17" s="1501"/>
      <c r="X17" s="645"/>
      <c r="Y17" s="645"/>
      <c r="Z17" s="1838"/>
      <c r="AA17" s="645"/>
      <c r="AB17" s="645"/>
      <c r="AE17" s="1539"/>
      <c r="AF17" s="1539"/>
      <c r="AG17" s="1539"/>
      <c r="AH17" s="1539"/>
      <c r="AI17" s="1539"/>
      <c r="AJ17" s="1539"/>
      <c r="AK17" s="1539"/>
      <c r="AL17" s="1539"/>
      <c r="AM17" s="1539"/>
      <c r="AN17" s="1539"/>
      <c r="AO17" s="1539"/>
      <c r="AP17" s="1539"/>
      <c r="AQ17" s="1539"/>
      <c r="AR17" s="1539"/>
      <c r="AS17" s="1539"/>
      <c r="AT17" s="1539"/>
    </row>
    <row r="18" spans="1:46" x14ac:dyDescent="0.3">
      <c r="A18" s="1807"/>
      <c r="B18" s="1813"/>
      <c r="C18" s="1506" t="s">
        <v>36</v>
      </c>
      <c r="D18" s="1506"/>
      <c r="E18" s="1506"/>
      <c r="F18" s="1506"/>
      <c r="G18" s="641">
        <f>G19*G20</f>
        <v>1</v>
      </c>
      <c r="H18" s="641"/>
      <c r="I18" s="1506"/>
      <c r="J18" s="1506"/>
      <c r="K18" s="1824"/>
      <c r="M18" s="804" t="s">
        <v>19</v>
      </c>
      <c r="N18" s="1538">
        <f>((N15*N15-N16*N16)*3.1415926*N17*N8)/4000000</f>
        <v>212.05750050000003</v>
      </c>
      <c r="Q18" s="645"/>
      <c r="R18" s="645"/>
      <c r="S18" s="645"/>
      <c r="T18" s="645"/>
      <c r="U18" s="645"/>
      <c r="V18" s="1834"/>
      <c r="W18" s="645"/>
      <c r="X18" s="645"/>
      <c r="Y18" s="645"/>
      <c r="Z18" s="1838"/>
      <c r="AA18" s="645"/>
      <c r="AB18" s="645"/>
      <c r="AE18" s="1539"/>
      <c r="AF18" s="1539"/>
      <c r="AG18" s="1539"/>
      <c r="AH18" s="1539"/>
      <c r="AI18" s="1539"/>
      <c r="AJ18" s="1539"/>
      <c r="AK18" s="1539"/>
      <c r="AL18" s="1539"/>
      <c r="AM18" s="1539"/>
      <c r="AN18" s="1539"/>
      <c r="AO18" s="1539"/>
      <c r="AP18" s="1539"/>
      <c r="AQ18" s="1539"/>
      <c r="AR18" s="1539"/>
      <c r="AS18" s="1539"/>
      <c r="AT18" s="1539"/>
    </row>
    <row r="19" spans="1:46" x14ac:dyDescent="0.3">
      <c r="A19" s="1807"/>
      <c r="B19" s="1813"/>
      <c r="C19" s="1506" t="s">
        <v>38</v>
      </c>
      <c r="D19" s="1506"/>
      <c r="E19" s="1506"/>
      <c r="F19" s="1506"/>
      <c r="G19" s="641">
        <v>1</v>
      </c>
      <c r="H19" s="641"/>
      <c r="I19" s="1506"/>
      <c r="J19" s="1506"/>
      <c r="K19" s="1824"/>
      <c r="M19" s="816" t="s">
        <v>270</v>
      </c>
      <c r="N19" s="839"/>
      <c r="Q19" s="645"/>
      <c r="R19" s="645"/>
      <c r="S19" s="645"/>
      <c r="T19" s="645"/>
      <c r="U19" s="645"/>
      <c r="V19" s="1834"/>
      <c r="W19" s="645"/>
      <c r="X19" s="645"/>
      <c r="Y19" s="645"/>
      <c r="Z19" s="1838"/>
      <c r="AA19" s="645"/>
      <c r="AB19" s="645"/>
      <c r="AE19" s="1539"/>
      <c r="AF19" s="1539"/>
      <c r="AG19" s="1539"/>
      <c r="AH19" s="1539"/>
      <c r="AI19" s="1539"/>
      <c r="AJ19" s="1539"/>
      <c r="AK19" s="1539"/>
      <c r="AL19" s="1539"/>
      <c r="AM19" s="1539"/>
      <c r="AN19" s="1539"/>
      <c r="AO19" s="1539"/>
      <c r="AP19" s="1539"/>
      <c r="AQ19" s="1539"/>
      <c r="AR19" s="1539"/>
      <c r="AS19" s="1539"/>
      <c r="AT19" s="1539"/>
    </row>
    <row r="20" spans="1:46" ht="16.2" thickBot="1" x14ac:dyDescent="0.35">
      <c r="A20" s="1807"/>
      <c r="B20" s="1817"/>
      <c r="C20" s="1818" t="s">
        <v>1265</v>
      </c>
      <c r="D20" s="1818"/>
      <c r="E20" s="1818"/>
      <c r="F20" s="1818"/>
      <c r="G20" s="818">
        <v>1</v>
      </c>
      <c r="H20" s="818"/>
      <c r="I20" s="1818"/>
      <c r="J20" s="1818"/>
      <c r="K20" s="1828"/>
      <c r="M20" s="1866" t="s">
        <v>1005</v>
      </c>
      <c r="N20" s="1867"/>
      <c r="O20" s="969"/>
      <c r="Q20" s="645"/>
      <c r="R20" s="645"/>
      <c r="S20" s="645"/>
      <c r="T20" s="645"/>
      <c r="U20" s="645"/>
      <c r="V20" s="1834"/>
      <c r="W20" s="645"/>
      <c r="X20" s="645"/>
      <c r="Y20" s="645"/>
      <c r="Z20" s="1838"/>
      <c r="AA20" s="645"/>
      <c r="AB20" s="645"/>
      <c r="AE20" s="1539"/>
      <c r="AF20" s="1539"/>
      <c r="AG20" s="1539"/>
      <c r="AH20" s="1539"/>
      <c r="AI20" s="1539"/>
      <c r="AJ20" s="1539"/>
      <c r="AK20" s="1539"/>
      <c r="AL20" s="1539"/>
      <c r="AM20" s="1539"/>
      <c r="AN20" s="1539"/>
      <c r="AO20" s="1539"/>
      <c r="AP20" s="1539"/>
      <c r="AQ20" s="1539"/>
      <c r="AR20" s="1539"/>
      <c r="AS20" s="1539"/>
      <c r="AT20" s="1539"/>
    </row>
    <row r="21" spans="1:46" x14ac:dyDescent="0.3">
      <c r="B21" s="637"/>
      <c r="C21" s="631" t="s">
        <v>1018</v>
      </c>
      <c r="D21" s="631"/>
      <c r="E21" s="631"/>
      <c r="F21" s="631" t="str">
        <f>"Формовочный уклон  "&amp;ROUND(Данные!F32,0)</f>
        <v>Формовочный уклон  3</v>
      </c>
      <c r="G21" s="631"/>
      <c r="H21" s="631"/>
      <c r="I21" s="631" t="str">
        <f>"Радиус скругления прибыли "&amp;ROUNDUP(E25/0.89,0)</f>
        <v>Радиус скругления прибыли 52</v>
      </c>
      <c r="J21" s="820"/>
      <c r="K21" s="821"/>
      <c r="M21" s="930" t="s">
        <v>968</v>
      </c>
      <c r="N21" s="931" t="str">
        <f>Данные!E205</f>
        <v xml:space="preserve">9 </v>
      </c>
      <c r="O21" s="929"/>
      <c r="Q21" s="645"/>
      <c r="R21" s="645"/>
      <c r="S21" s="645"/>
      <c r="T21" s="645"/>
      <c r="U21" s="645"/>
      <c r="V21" s="1501"/>
      <c r="W21" s="645"/>
      <c r="X21" s="645"/>
      <c r="Y21" s="1164"/>
      <c r="Z21" s="1164"/>
      <c r="AA21" s="645"/>
      <c r="AB21" s="645"/>
      <c r="AC21" s="928"/>
      <c r="AE21" s="1539"/>
      <c r="AF21" s="1539"/>
      <c r="AG21" s="1539"/>
      <c r="AH21" s="1539"/>
      <c r="AI21" s="1539"/>
      <c r="AJ21" s="1539"/>
      <c r="AK21" s="1539"/>
      <c r="AL21" s="1539"/>
      <c r="AM21" s="1539"/>
      <c r="AN21" s="1539"/>
      <c r="AO21" s="1539"/>
      <c r="AP21" s="1539"/>
      <c r="AQ21" s="1539"/>
      <c r="AR21" s="1539"/>
      <c r="AS21" s="1539"/>
      <c r="AT21" s="1539"/>
    </row>
    <row r="22" spans="1:46" x14ac:dyDescent="0.3">
      <c r="B22" s="630"/>
      <c r="C22" s="447"/>
      <c r="D22" s="447"/>
      <c r="E22" s="447"/>
      <c r="F22" s="447"/>
      <c r="G22" s="447"/>
      <c r="H22" s="447"/>
      <c r="I22" s="447"/>
      <c r="J22" s="653"/>
      <c r="K22" s="654"/>
      <c r="M22" s="842" t="s">
        <v>969</v>
      </c>
      <c r="N22" s="931" t="str">
        <f>Данные!F205</f>
        <v xml:space="preserve">10 </v>
      </c>
      <c r="Q22" s="645"/>
      <c r="R22" s="645"/>
      <c r="S22" s="645"/>
      <c r="T22" s="645"/>
      <c r="U22" s="645"/>
      <c r="V22" s="645"/>
      <c r="W22" s="645"/>
      <c r="X22" s="645"/>
      <c r="Y22" s="1164"/>
      <c r="Z22" s="1164"/>
      <c r="AA22" s="645"/>
      <c r="AB22" s="645"/>
      <c r="AC22" s="928"/>
      <c r="AE22" s="1539"/>
      <c r="AF22" s="1539"/>
      <c r="AG22" s="1539"/>
      <c r="AH22" s="1539"/>
      <c r="AI22" s="1539"/>
      <c r="AJ22" s="1539"/>
      <c r="AK22" s="1539"/>
      <c r="AL22" s="1539"/>
      <c r="AM22" s="1539"/>
      <c r="AN22" s="1539"/>
      <c r="AO22" s="1539"/>
      <c r="AP22" s="1539"/>
      <c r="AQ22" s="1539"/>
      <c r="AR22" s="1539"/>
      <c r="AS22" s="1539"/>
      <c r="AT22" s="1539"/>
    </row>
    <row r="23" spans="1:46" x14ac:dyDescent="0.3">
      <c r="B23" s="630"/>
      <c r="C23" s="447"/>
      <c r="D23" s="652">
        <f>IF(O6=0,ROUND(Данные!F35*0.985,0),ROUNDUP(O6*0.985,0))</f>
        <v>310</v>
      </c>
      <c r="E23" s="652"/>
      <c r="F23" s="652">
        <f>IF(O5=0,ROUNDUP(N5*0.985,0),O5-15)</f>
        <v>187</v>
      </c>
      <c r="G23" s="447" t="str">
        <f>"( "&amp;F23+15&amp;" для модели) * "</f>
        <v xml:space="preserve">( 202 для модели) * </v>
      </c>
      <c r="H23" s="447"/>
      <c r="I23" s="447"/>
      <c r="J23" s="1164"/>
      <c r="K23" s="654"/>
      <c r="M23" s="842" t="s">
        <v>970</v>
      </c>
      <c r="N23" s="931" t="str">
        <f>Данные!G205</f>
        <v>10</v>
      </c>
      <c r="Q23" s="645"/>
      <c r="R23" s="645"/>
      <c r="S23" s="1838"/>
      <c r="T23" s="1838"/>
      <c r="U23" s="1838"/>
      <c r="V23" s="645"/>
      <c r="W23" s="645"/>
      <c r="X23" s="645"/>
      <c r="Y23" s="1164"/>
      <c r="Z23" s="1164"/>
      <c r="AA23" s="645"/>
      <c r="AB23" s="645"/>
      <c r="AE23" s="1539"/>
      <c r="AF23" s="1539"/>
      <c r="AG23" s="1539"/>
      <c r="AH23" s="1539"/>
      <c r="AI23" s="1539"/>
      <c r="AJ23" s="1539"/>
      <c r="AK23" s="1539"/>
      <c r="AL23" s="1539"/>
      <c r="AM23" s="1539"/>
      <c r="AN23" s="1539"/>
      <c r="AO23" s="1539"/>
      <c r="AP23" s="1539"/>
      <c r="AQ23" s="1539"/>
      <c r="AR23" s="1539"/>
      <c r="AS23" s="1539"/>
      <c r="AT23" s="1539"/>
    </row>
    <row r="24" spans="1:46" x14ac:dyDescent="0.3">
      <c r="B24" s="630"/>
      <c r="C24" s="447"/>
      <c r="D24" s="447"/>
      <c r="E24" s="447"/>
      <c r="F24" s="689" t="str">
        <f>"( "&amp;N17&amp;" )"</f>
        <v>( 150 )</v>
      </c>
      <c r="G24" s="447"/>
      <c r="H24" s="447"/>
      <c r="I24" s="447"/>
      <c r="J24" s="653"/>
      <c r="K24" s="654"/>
      <c r="M24" s="842" t="s">
        <v>1007</v>
      </c>
      <c r="N24" s="931">
        <f>Данные!D238</f>
        <v>17</v>
      </c>
      <c r="Q24" s="645"/>
      <c r="R24" s="645"/>
      <c r="S24" s="645"/>
      <c r="T24" s="645"/>
      <c r="U24" s="1839"/>
      <c r="V24" s="645"/>
      <c r="W24" s="645"/>
      <c r="X24" s="645"/>
      <c r="Y24" s="1164"/>
      <c r="Z24" s="1164"/>
      <c r="AA24" s="645"/>
      <c r="AB24" s="645"/>
      <c r="AC24" s="447"/>
      <c r="AE24" s="1539"/>
      <c r="AF24" s="1539"/>
      <c r="AG24" s="1539"/>
      <c r="AH24" s="1539"/>
      <c r="AI24" s="1539"/>
      <c r="AJ24" s="1539"/>
      <c r="AK24" s="1539"/>
      <c r="AL24" s="1539"/>
      <c r="AM24" s="1539"/>
      <c r="AN24" s="1539"/>
      <c r="AO24" s="1539"/>
      <c r="AP24" s="1539"/>
      <c r="AQ24" s="1539"/>
      <c r="AR24" s="1539"/>
      <c r="AS24" s="1539"/>
      <c r="AT24" s="1539"/>
    </row>
    <row r="25" spans="1:46" x14ac:dyDescent="0.3">
      <c r="B25" s="630"/>
      <c r="C25" s="447"/>
      <c r="D25" s="447"/>
      <c r="E25" s="822">
        <f>ROUNDUP(N7/2.7,0)</f>
        <v>46</v>
      </c>
      <c r="F25" s="447"/>
      <c r="G25" s="447"/>
      <c r="H25" s="447"/>
      <c r="I25" s="447"/>
      <c r="J25" s="447"/>
      <c r="K25" s="656"/>
      <c r="M25" s="842" t="s">
        <v>1302</v>
      </c>
      <c r="N25" s="842">
        <f>IF(AND(N8&gt;7.6,N17&gt;=390),40,IF(N17&gt;=390,37,0))</f>
        <v>0</v>
      </c>
      <c r="Q25" s="645"/>
      <c r="R25" s="645"/>
      <c r="S25" s="645"/>
      <c r="T25" s="1840"/>
      <c r="U25" s="645"/>
      <c r="V25" s="645"/>
      <c r="W25" s="645"/>
      <c r="X25" s="645"/>
      <c r="Y25" s="645"/>
      <c r="Z25" s="1860"/>
      <c r="AA25" s="645"/>
      <c r="AB25" s="645"/>
      <c r="AC25" s="447"/>
      <c r="AE25" s="1539"/>
      <c r="AF25" s="1539"/>
      <c r="AG25" s="1539"/>
      <c r="AH25" s="1539"/>
      <c r="AI25" s="1539"/>
      <c r="AJ25" s="1539"/>
      <c r="AK25" s="1539"/>
      <c r="AL25" s="1539"/>
      <c r="AM25" s="1539"/>
      <c r="AN25" s="1539"/>
      <c r="AO25" s="1539"/>
      <c r="AP25" s="1539"/>
      <c r="AQ25" s="1539"/>
      <c r="AR25" s="1539"/>
      <c r="AS25" s="1539"/>
      <c r="AT25" s="1539"/>
    </row>
    <row r="26" spans="1:46" x14ac:dyDescent="0.3">
      <c r="B26" s="630"/>
      <c r="C26" s="447"/>
      <c r="D26" s="447"/>
      <c r="E26" s="447"/>
      <c r="F26" s="447"/>
      <c r="G26" s="447"/>
      <c r="H26" s="447"/>
      <c r="I26" s="447"/>
      <c r="J26" s="657"/>
      <c r="K26" s="656"/>
      <c r="M26" s="1868" t="s">
        <v>1303</v>
      </c>
      <c r="N26" s="1868"/>
      <c r="Q26" s="645"/>
      <c r="R26" s="645"/>
      <c r="S26" s="645"/>
      <c r="T26" s="645"/>
      <c r="U26" s="645"/>
      <c r="V26" s="645"/>
      <c r="W26" s="645"/>
      <c r="X26" s="645"/>
      <c r="Y26" s="1841"/>
      <c r="Z26" s="1860"/>
      <c r="AA26" s="645"/>
      <c r="AB26" s="645"/>
      <c r="AC26" s="447"/>
      <c r="AE26" s="1539"/>
      <c r="AF26" s="1539"/>
      <c r="AG26" s="1539"/>
      <c r="AH26" s="1539"/>
      <c r="AI26" s="1539"/>
      <c r="AJ26" s="1539"/>
      <c r="AK26" s="1539"/>
      <c r="AL26" s="1539"/>
      <c r="AM26" s="1539"/>
      <c r="AN26" s="1539"/>
      <c r="AO26" s="1539"/>
      <c r="AP26" s="1539"/>
      <c r="AQ26" s="1539"/>
      <c r="AR26" s="1539"/>
      <c r="AS26" s="1539"/>
      <c r="AT26" s="1539"/>
    </row>
    <row r="27" spans="1:46" x14ac:dyDescent="0.3">
      <c r="B27" s="630"/>
      <c r="C27" s="447"/>
      <c r="D27" s="447"/>
      <c r="E27" s="447"/>
      <c r="F27" s="447"/>
      <c r="G27" s="447"/>
      <c r="H27" s="647">
        <v>80</v>
      </c>
      <c r="J27" s="658"/>
      <c r="K27" s="656"/>
      <c r="M27" s="1868" t="s">
        <v>1304</v>
      </c>
      <c r="N27" s="1868"/>
      <c r="Q27" s="1851"/>
      <c r="R27" s="645"/>
      <c r="S27" s="645"/>
      <c r="T27" s="645"/>
      <c r="U27" s="645"/>
      <c r="V27" s="645"/>
      <c r="W27" s="645"/>
      <c r="X27" s="1501"/>
      <c r="Y27" s="1842"/>
      <c r="Z27" s="1860"/>
      <c r="AA27" s="645"/>
      <c r="AB27" s="645"/>
      <c r="AC27" s="447"/>
      <c r="AE27" s="1539"/>
      <c r="AF27" s="1539"/>
      <c r="AG27" s="1539"/>
      <c r="AH27" s="1539"/>
      <c r="AI27" s="1539"/>
      <c r="AJ27" s="1539"/>
      <c r="AK27" s="1539"/>
      <c r="AL27" s="1539"/>
      <c r="AM27" s="1539"/>
      <c r="AN27" s="1539"/>
      <c r="AO27" s="1539"/>
      <c r="AP27" s="1539"/>
      <c r="AQ27" s="1539"/>
      <c r="AR27" s="1539"/>
      <c r="AS27" s="1539"/>
      <c r="AT27" s="1539"/>
    </row>
    <row r="28" spans="1:46" x14ac:dyDescent="0.3">
      <c r="B28" s="630"/>
      <c r="C28" s="447"/>
      <c r="D28" s="447"/>
      <c r="E28" s="447"/>
      <c r="F28" s="447"/>
      <c r="G28" s="447"/>
      <c r="H28" s="447"/>
      <c r="I28" s="447"/>
      <c r="J28" s="659"/>
      <c r="K28" s="656"/>
      <c r="M28" s="1244"/>
      <c r="N28" s="645"/>
      <c r="Q28" s="1861"/>
      <c r="R28" s="645"/>
      <c r="S28" s="645"/>
      <c r="T28" s="645"/>
      <c r="U28" s="645"/>
      <c r="V28" s="645"/>
      <c r="W28" s="645"/>
      <c r="X28" s="645"/>
      <c r="Y28" s="1843"/>
      <c r="Z28" s="1860"/>
      <c r="AA28" s="645"/>
      <c r="AB28" s="645"/>
      <c r="AC28" s="447"/>
      <c r="AE28" s="1539"/>
      <c r="AF28" s="1539"/>
      <c r="AG28" s="1539"/>
      <c r="AH28" s="1539"/>
      <c r="AI28" s="1539"/>
      <c r="AJ28" s="1539"/>
      <c r="AK28" s="1539"/>
      <c r="AL28" s="1539"/>
      <c r="AM28" s="1539"/>
      <c r="AN28" s="1539"/>
      <c r="AO28" s="1539"/>
      <c r="AP28" s="1539"/>
      <c r="AQ28" s="1539"/>
      <c r="AR28" s="1539"/>
      <c r="AS28" s="1539"/>
      <c r="AT28" s="1539"/>
    </row>
    <row r="29" spans="1:46" x14ac:dyDescent="0.3">
      <c r="B29" s="630"/>
      <c r="C29" s="447"/>
      <c r="D29" s="447"/>
      <c r="E29" s="447"/>
      <c r="F29" s="447"/>
      <c r="G29" s="447"/>
      <c r="H29" s="447"/>
      <c r="I29" s="644">
        <f>IF(O4=0,N16-N23*2,ROUNDDOWN(O4*0.994,0))</f>
        <v>480</v>
      </c>
      <c r="J29" s="812">
        <f>IF(O3=0,ROUNDUP(N3*0.985,0),ROUNDUP(O3*0.985,0))</f>
        <v>719</v>
      </c>
      <c r="K29" s="656"/>
      <c r="Q29" s="645"/>
      <c r="R29" s="645"/>
      <c r="S29" s="645"/>
      <c r="T29" s="645"/>
      <c r="U29" s="645"/>
      <c r="V29" s="645"/>
      <c r="W29" s="645"/>
      <c r="X29" s="1501"/>
      <c r="Y29" s="1501"/>
      <c r="Z29" s="1862"/>
      <c r="AA29" s="645"/>
      <c r="AB29" s="645"/>
      <c r="AC29" s="447"/>
      <c r="AE29" s="1539"/>
      <c r="AF29" s="1539"/>
      <c r="AG29" s="1539"/>
      <c r="AH29" s="1539"/>
      <c r="AI29" s="1539"/>
      <c r="AJ29" s="1539"/>
      <c r="AK29" s="1539"/>
      <c r="AL29" s="1539"/>
      <c r="AM29" s="1539"/>
      <c r="AN29" s="1539"/>
      <c r="AO29" s="1539"/>
      <c r="AP29" s="1539"/>
      <c r="AQ29" s="1539"/>
      <c r="AR29" s="1539"/>
      <c r="AS29" s="1539"/>
      <c r="AT29" s="1539"/>
    </row>
    <row r="30" spans="1:46" x14ac:dyDescent="0.3">
      <c r="B30" s="630"/>
      <c r="C30" s="447"/>
      <c r="D30" s="447"/>
      <c r="E30" s="663"/>
      <c r="F30" s="664"/>
      <c r="G30" s="447"/>
      <c r="H30" s="447"/>
      <c r="I30" s="639" t="str">
        <f>"( "&amp;N16&amp;" )"</f>
        <v>( 500 )</v>
      </c>
      <c r="J30" s="639" t="str">
        <f>"( "&amp;N15&amp;" )"</f>
        <v>( 700 )</v>
      </c>
      <c r="K30" s="656"/>
      <c r="Q30" s="645"/>
      <c r="R30" s="645"/>
      <c r="S30" s="645"/>
      <c r="T30" s="1844"/>
      <c r="U30" s="1845"/>
      <c r="V30" s="645"/>
      <c r="W30" s="645"/>
      <c r="X30" s="1833"/>
      <c r="Y30" s="1833"/>
      <c r="Z30" s="1862"/>
      <c r="AA30" s="645"/>
      <c r="AB30" s="645"/>
      <c r="AC30" s="1506"/>
      <c r="AE30" s="1539"/>
      <c r="AF30" s="1539"/>
      <c r="AG30" s="1539"/>
      <c r="AH30" s="1539"/>
      <c r="AI30" s="1539"/>
      <c r="AJ30" s="1539"/>
      <c r="AK30" s="1539"/>
      <c r="AL30" s="1539"/>
      <c r="AM30" s="1539"/>
      <c r="AN30" s="1539"/>
      <c r="AO30" s="1539"/>
      <c r="AP30" s="1539"/>
      <c r="AQ30" s="1539"/>
      <c r="AR30" s="1539"/>
      <c r="AS30" s="1539"/>
      <c r="AT30" s="1539"/>
    </row>
    <row r="31" spans="1:46" ht="16.2" thickBot="1" x14ac:dyDescent="0.35">
      <c r="B31" s="630"/>
      <c r="C31" s="447"/>
      <c r="D31" s="447"/>
      <c r="E31" s="447"/>
      <c r="F31" s="447"/>
      <c r="G31" s="447"/>
      <c r="H31" s="447"/>
      <c r="I31" s="447"/>
      <c r="J31" s="658"/>
      <c r="K31" s="656"/>
      <c r="M31" s="848"/>
      <c r="Q31" s="645"/>
      <c r="R31" s="645"/>
      <c r="S31" s="645"/>
      <c r="T31" s="645"/>
      <c r="U31" s="645"/>
      <c r="V31" s="645"/>
      <c r="W31" s="1831"/>
      <c r="X31" s="645"/>
      <c r="Y31" s="1842"/>
      <c r="Z31" s="1860"/>
      <c r="AA31" s="645"/>
      <c r="AB31" s="645"/>
      <c r="AE31" s="1539"/>
      <c r="AF31" s="1539"/>
      <c r="AG31" s="1539"/>
      <c r="AH31" s="1539"/>
      <c r="AI31" s="1539"/>
      <c r="AJ31" s="1539"/>
      <c r="AK31" s="1539"/>
      <c r="AL31" s="1539"/>
      <c r="AM31" s="1539"/>
      <c r="AN31" s="1539"/>
      <c r="AO31" s="1539"/>
      <c r="AP31" s="1539"/>
      <c r="AQ31" s="1539"/>
      <c r="AR31" s="1539"/>
      <c r="AS31" s="1539"/>
      <c r="AT31" s="1539"/>
    </row>
    <row r="32" spans="1:46" x14ac:dyDescent="0.3">
      <c r="B32" s="630"/>
      <c r="C32" s="447"/>
      <c r="D32" s="447"/>
      <c r="E32" s="447"/>
      <c r="F32" s="447"/>
      <c r="G32" s="447"/>
      <c r="H32" s="447"/>
      <c r="I32" s="447"/>
      <c r="J32" s="658"/>
      <c r="K32" s="656"/>
      <c r="M32" s="1562" t="s">
        <v>351</v>
      </c>
      <c r="N32" s="631"/>
      <c r="O32" s="638"/>
      <c r="Q32" s="645"/>
      <c r="R32" s="645"/>
      <c r="S32" s="645"/>
      <c r="T32" s="645"/>
      <c r="U32" s="645"/>
      <c r="V32" s="645"/>
      <c r="W32" s="1831"/>
      <c r="X32" s="645"/>
      <c r="Y32" s="1842"/>
      <c r="Z32" s="1860"/>
      <c r="AA32" s="645"/>
      <c r="AB32" s="645"/>
      <c r="AE32" s="1539"/>
      <c r="AF32" s="1539"/>
      <c r="AG32" s="1539"/>
      <c r="AH32" s="1539"/>
      <c r="AI32" s="1539"/>
      <c r="AJ32" s="1539"/>
      <c r="AK32" s="1539"/>
      <c r="AL32" s="1539"/>
      <c r="AM32" s="1539"/>
      <c r="AN32" s="1539"/>
      <c r="AO32" s="1539"/>
      <c r="AP32" s="1539"/>
      <c r="AQ32" s="1539"/>
      <c r="AR32" s="1539"/>
      <c r="AS32" s="1539"/>
      <c r="AT32" s="1539"/>
    </row>
    <row r="33" spans="2:46" ht="16.2" thickBot="1" x14ac:dyDescent="0.35">
      <c r="B33" s="630"/>
      <c r="C33" s="666"/>
      <c r="D33" s="666"/>
      <c r="E33" s="447"/>
      <c r="F33" s="667"/>
      <c r="G33" s="663"/>
      <c r="H33" s="447"/>
      <c r="I33" s="447"/>
      <c r="J33" s="658"/>
      <c r="K33" s="656"/>
      <c r="M33" s="1563"/>
      <c r="N33" s="650" t="s">
        <v>410</v>
      </c>
      <c r="O33" s="677"/>
      <c r="Q33" s="645"/>
      <c r="R33" s="1846"/>
      <c r="S33" s="1846"/>
      <c r="T33" s="645"/>
      <c r="U33" s="1847"/>
      <c r="V33" s="1844"/>
      <c r="W33" s="1831"/>
      <c r="X33" s="645"/>
      <c r="Y33" s="1842"/>
      <c r="Z33" s="1860"/>
      <c r="AA33" s="645"/>
      <c r="AB33" s="645"/>
      <c r="AE33" s="1539"/>
      <c r="AF33" s="1539"/>
      <c r="AG33" s="1539"/>
      <c r="AH33" s="1539"/>
      <c r="AI33" s="1539"/>
      <c r="AJ33" s="1539"/>
      <c r="AK33" s="1539"/>
      <c r="AL33" s="1539"/>
      <c r="AM33" s="1539"/>
      <c r="AN33" s="1539"/>
      <c r="AO33" s="1539"/>
      <c r="AP33" s="1539"/>
      <c r="AQ33" s="1539"/>
      <c r="AR33" s="1539"/>
      <c r="AS33" s="1539"/>
      <c r="AT33" s="1539"/>
    </row>
    <row r="34" spans="2:46" x14ac:dyDescent="0.3">
      <c r="B34" s="630"/>
      <c r="C34" s="666"/>
      <c r="D34" s="666"/>
      <c r="E34" s="447"/>
      <c r="F34" s="667"/>
      <c r="G34" s="663"/>
      <c r="H34" s="447"/>
      <c r="I34" s="447"/>
      <c r="J34" s="658"/>
      <c r="K34" s="656"/>
      <c r="M34" s="630" t="s">
        <v>1037</v>
      </c>
      <c r="N34" s="647">
        <v>4</v>
      </c>
      <c r="O34" s="634"/>
      <c r="Q34" s="645"/>
      <c r="R34" s="1846"/>
      <c r="S34" s="1846"/>
      <c r="T34" s="645"/>
      <c r="U34" s="1847"/>
      <c r="V34" s="1844"/>
      <c r="W34" s="645"/>
      <c r="X34" s="645"/>
      <c r="Y34" s="1842"/>
      <c r="Z34" s="1860"/>
      <c r="AA34" s="645"/>
      <c r="AB34" s="645"/>
      <c r="AE34" s="1539"/>
      <c r="AF34" s="1539"/>
      <c r="AG34" s="1539"/>
      <c r="AH34" s="1539"/>
      <c r="AI34" s="1539"/>
      <c r="AJ34" s="1539"/>
      <c r="AK34" s="1539"/>
      <c r="AL34" s="1539"/>
      <c r="AM34" s="1539"/>
      <c r="AN34" s="1539"/>
      <c r="AO34" s="1539"/>
      <c r="AP34" s="1539"/>
      <c r="AQ34" s="1539"/>
      <c r="AR34" s="1539"/>
      <c r="AS34" s="1539"/>
      <c r="AT34" s="1539"/>
    </row>
    <row r="35" spans="2:46" ht="16.2" thickBot="1" x14ac:dyDescent="0.35">
      <c r="B35" s="630"/>
      <c r="C35" s="447"/>
      <c r="D35" s="447"/>
      <c r="E35" s="447"/>
      <c r="F35" s="851"/>
      <c r="G35" s="664"/>
      <c r="I35" s="447"/>
      <c r="J35" s="658"/>
      <c r="K35" s="656"/>
      <c r="M35" s="648"/>
      <c r="N35" s="649"/>
      <c r="O35" s="677"/>
      <c r="Q35" s="645"/>
      <c r="R35" s="645"/>
      <c r="S35" s="645"/>
      <c r="T35" s="645"/>
      <c r="U35" s="645"/>
      <c r="V35" s="1845"/>
      <c r="W35" s="810"/>
      <c r="X35" s="645"/>
      <c r="Y35" s="1842"/>
      <c r="Z35" s="1860"/>
      <c r="AA35" s="645"/>
      <c r="AB35" s="645"/>
      <c r="AE35" s="1539"/>
      <c r="AF35" s="1539"/>
      <c r="AG35" s="1539"/>
      <c r="AH35" s="1539"/>
      <c r="AI35" s="1539"/>
      <c r="AJ35" s="1539"/>
      <c r="AK35" s="1539"/>
      <c r="AL35" s="1539"/>
      <c r="AM35" s="1539"/>
      <c r="AN35" s="1539"/>
      <c r="AO35" s="1539"/>
      <c r="AP35" s="1539"/>
      <c r="AQ35" s="1539"/>
      <c r="AR35" s="1539"/>
      <c r="AS35" s="1539"/>
      <c r="AT35" s="1539"/>
    </row>
    <row r="36" spans="2:46" x14ac:dyDescent="0.3">
      <c r="B36" s="630"/>
      <c r="C36" s="824" t="s">
        <v>355</v>
      </c>
      <c r="D36" s="825">
        <v>10</v>
      </c>
      <c r="E36" s="626" t="str">
        <f>IF(Данные!F34=TRUE,"Формовать в обратном порядке.   Протянуть модель до  размера  L = "&amp;F23+15&amp;" мм.","")</f>
        <v/>
      </c>
      <c r="F36" s="626"/>
      <c r="G36" s="626"/>
      <c r="H36" s="626"/>
      <c r="I36" s="626"/>
      <c r="J36" s="658"/>
      <c r="K36" s="656"/>
      <c r="Q36" s="645"/>
      <c r="R36" s="1848"/>
      <c r="S36" s="1849"/>
      <c r="T36" s="1850"/>
      <c r="U36" s="1851"/>
      <c r="V36" s="645"/>
      <c r="W36" s="1501"/>
      <c r="X36" s="645"/>
      <c r="Y36" s="1842"/>
      <c r="Z36" s="1860"/>
      <c r="AA36" s="645"/>
      <c r="AB36" s="645"/>
      <c r="AE36" s="1539"/>
      <c r="AF36" s="1539"/>
      <c r="AG36" s="1539"/>
      <c r="AH36" s="1539"/>
      <c r="AI36" s="1539"/>
      <c r="AJ36" s="1539"/>
      <c r="AK36" s="1539"/>
      <c r="AL36" s="1539"/>
      <c r="AM36" s="1539"/>
      <c r="AN36" s="1539"/>
      <c r="AO36" s="1539"/>
      <c r="AP36" s="1539"/>
      <c r="AQ36" s="1539"/>
      <c r="AR36" s="1539"/>
      <c r="AS36" s="1539"/>
      <c r="AT36" s="1539"/>
    </row>
    <row r="37" spans="2:46" ht="16.2" thickBot="1" x14ac:dyDescent="0.35">
      <c r="B37" s="648"/>
      <c r="C37" s="649"/>
      <c r="D37" s="649"/>
      <c r="E37" s="1869" t="str">
        <f>IF(Данные!C37=TRUE,"Модель нашить до размера Ф = "&amp;N3&amp;" мм.","")</f>
        <v/>
      </c>
      <c r="F37" s="649"/>
      <c r="G37" s="649"/>
      <c r="H37" s="649"/>
      <c r="I37" s="649"/>
      <c r="J37" s="827"/>
      <c r="K37" s="828"/>
      <c r="Q37" s="645"/>
      <c r="R37" s="645"/>
      <c r="S37" s="645"/>
      <c r="T37" s="645"/>
      <c r="U37" s="645"/>
      <c r="V37" s="645"/>
      <c r="W37" s="1863"/>
      <c r="X37" s="645"/>
      <c r="Y37" s="1843"/>
      <c r="Z37" s="1860"/>
      <c r="AA37" s="645"/>
      <c r="AB37" s="645"/>
      <c r="AE37" s="1539"/>
      <c r="AF37" s="1539"/>
      <c r="AG37" s="1539"/>
      <c r="AH37" s="1539"/>
      <c r="AI37" s="1539"/>
      <c r="AJ37" s="1539"/>
      <c r="AK37" s="1539"/>
      <c r="AL37" s="1539"/>
      <c r="AM37" s="1539"/>
      <c r="AN37" s="1539"/>
      <c r="AO37" s="1539"/>
      <c r="AP37" s="1539"/>
      <c r="AQ37" s="1539"/>
      <c r="AR37" s="1539"/>
      <c r="AS37" s="1539"/>
      <c r="AT37" s="1539"/>
    </row>
    <row r="38" spans="2:46" x14ac:dyDescent="0.3">
      <c r="B38" s="630" t="s">
        <v>47</v>
      </c>
      <c r="C38" s="447"/>
      <c r="D38" s="447"/>
      <c r="E38" s="447"/>
      <c r="F38" s="644"/>
      <c r="G38" s="447"/>
      <c r="I38" s="447" t="s">
        <v>48</v>
      </c>
      <c r="J38" s="658"/>
      <c r="K38" s="656"/>
      <c r="Q38" s="645"/>
      <c r="R38" s="645"/>
      <c r="S38" s="645"/>
      <c r="T38" s="645"/>
      <c r="U38" s="1501"/>
      <c r="V38" s="645"/>
      <c r="W38" s="645"/>
      <c r="X38" s="645"/>
      <c r="Y38" s="1842"/>
      <c r="Z38" s="1860"/>
      <c r="AA38" s="645"/>
      <c r="AB38" s="645"/>
      <c r="AE38" s="1539"/>
      <c r="AF38" s="1539"/>
      <c r="AG38" s="1539"/>
      <c r="AH38" s="1539"/>
      <c r="AI38" s="1539"/>
      <c r="AJ38" s="1539"/>
      <c r="AK38" s="1539"/>
      <c r="AL38" s="1539"/>
      <c r="AM38" s="1539"/>
      <c r="AN38" s="1539"/>
      <c r="AO38" s="1539"/>
      <c r="AP38" s="1539"/>
      <c r="AQ38" s="1539"/>
      <c r="AR38" s="1539"/>
      <c r="AS38" s="1539"/>
      <c r="AT38" s="1539"/>
    </row>
    <row r="39" spans="2:46" x14ac:dyDescent="0.3">
      <c r="B39" s="630" t="s">
        <v>49</v>
      </c>
      <c r="C39" s="447"/>
      <c r="D39" s="447"/>
      <c r="E39" s="447"/>
      <c r="F39" s="813" t="str">
        <f>VLOOKUP(G8,Данные!A3:I27,6,FALSE())</f>
        <v>25010.00176</v>
      </c>
      <c r="G39" s="447"/>
      <c r="I39" s="447" t="s">
        <v>50</v>
      </c>
      <c r="J39" s="632">
        <f>ROUNDUP(I29*I29*3.1415296*(H27+F23+15+(D23/0.985))*2.045/4000000,0)</f>
        <v>221</v>
      </c>
      <c r="K39" s="829" t="s">
        <v>401</v>
      </c>
      <c r="Q39" s="645"/>
      <c r="R39" s="645"/>
      <c r="S39" s="645"/>
      <c r="T39" s="645"/>
      <c r="U39" s="1501"/>
      <c r="V39" s="645"/>
      <c r="W39" s="645"/>
      <c r="X39" s="645"/>
      <c r="Y39" s="645"/>
      <c r="Z39" s="1862"/>
      <c r="AA39" s="645"/>
      <c r="AB39" s="645"/>
      <c r="AE39" s="1539"/>
      <c r="AF39" s="1539"/>
      <c r="AG39" s="1539"/>
      <c r="AH39" s="1539"/>
      <c r="AI39" s="1539"/>
      <c r="AJ39" s="1539"/>
      <c r="AK39" s="1539"/>
      <c r="AL39" s="1539"/>
      <c r="AM39" s="1539"/>
      <c r="AN39" s="1539"/>
      <c r="AO39" s="1539"/>
      <c r="AP39" s="1539"/>
      <c r="AQ39" s="1539"/>
      <c r="AR39" s="1539"/>
      <c r="AS39" s="1539"/>
      <c r="AT39" s="1539"/>
    </row>
    <row r="40" spans="2:46" x14ac:dyDescent="0.3">
      <c r="B40" s="630" t="s">
        <v>51</v>
      </c>
      <c r="C40" s="447"/>
      <c r="D40" s="447"/>
      <c r="E40" s="447"/>
      <c r="F40" s="830" t="str">
        <f>IF(G14&gt;1900,Данные!G4,Данные!G3)</f>
        <v>25011.00007</v>
      </c>
      <c r="G40" s="447"/>
      <c r="I40" s="447" t="s">
        <v>52</v>
      </c>
      <c r="J40" s="647" t="s">
        <v>53</v>
      </c>
      <c r="K40" s="656"/>
      <c r="Q40" s="645"/>
      <c r="R40" s="645"/>
      <c r="S40" s="645"/>
      <c r="T40" s="645"/>
      <c r="U40" s="1501"/>
      <c r="V40" s="645"/>
      <c r="W40" s="645"/>
      <c r="X40" s="645"/>
      <c r="Y40" s="1831"/>
      <c r="Z40" s="1860"/>
      <c r="AA40" s="645"/>
      <c r="AB40" s="645"/>
      <c r="AE40" s="1539"/>
      <c r="AF40" s="1539"/>
      <c r="AG40" s="1539"/>
      <c r="AH40" s="1539"/>
      <c r="AI40" s="1539"/>
      <c r="AJ40" s="1539"/>
      <c r="AK40" s="1539"/>
      <c r="AL40" s="1539"/>
      <c r="AM40" s="1539"/>
      <c r="AN40" s="1539"/>
      <c r="AO40" s="1539"/>
      <c r="AP40" s="1539"/>
      <c r="AQ40" s="1539"/>
      <c r="AR40" s="1539"/>
      <c r="AS40" s="1539"/>
      <c r="AT40" s="1539"/>
    </row>
    <row r="41" spans="2:46" x14ac:dyDescent="0.3">
      <c r="B41" s="630" t="s">
        <v>926</v>
      </c>
      <c r="C41" s="447"/>
      <c r="D41" s="447"/>
      <c r="E41" s="447"/>
      <c r="F41" s="823" t="str">
        <f>Данные!H34</f>
        <v>1080-1100</v>
      </c>
      <c r="G41" s="447" t="s">
        <v>790</v>
      </c>
      <c r="I41" s="447" t="s">
        <v>54</v>
      </c>
      <c r="J41" s="647" t="s">
        <v>55</v>
      </c>
      <c r="K41" s="654"/>
      <c r="Q41" s="645"/>
      <c r="R41" s="645"/>
      <c r="S41" s="645"/>
      <c r="T41" s="645"/>
      <c r="U41" s="1852"/>
      <c r="V41" s="645"/>
      <c r="W41" s="645"/>
      <c r="X41" s="645"/>
      <c r="Y41" s="1831"/>
      <c r="Z41" s="1164"/>
      <c r="AA41" s="645"/>
      <c r="AB41" s="645"/>
      <c r="AE41" s="1539"/>
      <c r="AF41" s="1539"/>
      <c r="AG41" s="1539"/>
      <c r="AH41" s="1539"/>
      <c r="AI41" s="1539"/>
      <c r="AJ41" s="1539"/>
      <c r="AK41" s="1539"/>
      <c r="AL41" s="1539"/>
      <c r="AM41" s="1539"/>
      <c r="AN41" s="1539"/>
      <c r="AO41" s="1539"/>
      <c r="AP41" s="1539"/>
      <c r="AQ41" s="1539"/>
      <c r="AR41" s="1539"/>
      <c r="AS41" s="1539"/>
      <c r="AT41" s="1539"/>
    </row>
    <row r="42" spans="2:46" x14ac:dyDescent="0.3">
      <c r="B42" s="630" t="s">
        <v>93</v>
      </c>
      <c r="C42" s="447"/>
      <c r="D42" s="447"/>
      <c r="E42" s="447"/>
      <c r="F42" s="644">
        <v>25010.001680000001</v>
      </c>
      <c r="G42" s="447"/>
      <c r="I42" s="447" t="s">
        <v>58</v>
      </c>
      <c r="J42" s="659"/>
      <c r="K42" s="654"/>
      <c r="Q42" s="645"/>
      <c r="R42" s="645"/>
      <c r="S42" s="645"/>
      <c r="T42" s="645"/>
      <c r="U42" s="1501"/>
      <c r="V42" s="645"/>
      <c r="W42" s="645"/>
      <c r="X42" s="645"/>
      <c r="Y42" s="1843"/>
      <c r="Z42" s="1164"/>
      <c r="AA42" s="645"/>
      <c r="AB42" s="645"/>
      <c r="AE42" s="1539"/>
      <c r="AF42" s="1539"/>
      <c r="AG42" s="1539"/>
      <c r="AH42" s="1539"/>
      <c r="AI42" s="1539"/>
      <c r="AJ42" s="1539"/>
      <c r="AK42" s="1539"/>
      <c r="AL42" s="1539"/>
      <c r="AM42" s="1539"/>
      <c r="AN42" s="1539"/>
      <c r="AO42" s="1539"/>
      <c r="AP42" s="1539"/>
      <c r="AQ42" s="1539"/>
      <c r="AR42" s="1539"/>
      <c r="AS42" s="1539"/>
      <c r="AT42" s="1539"/>
    </row>
    <row r="43" spans="2:46" x14ac:dyDescent="0.3">
      <c r="B43" s="630" t="s">
        <v>52</v>
      </c>
      <c r="C43" s="447"/>
      <c r="D43" s="447"/>
      <c r="E43" s="447"/>
      <c r="F43" s="669" t="s">
        <v>53</v>
      </c>
      <c r="G43" s="447"/>
      <c r="I43" s="447" t="s">
        <v>1298</v>
      </c>
      <c r="J43" s="653"/>
      <c r="K43" s="654"/>
      <c r="Q43" s="645"/>
      <c r="R43" s="645"/>
      <c r="S43" s="645"/>
      <c r="T43" s="645"/>
      <c r="U43" s="1853"/>
      <c r="V43" s="645"/>
      <c r="W43" s="645"/>
      <c r="X43" s="645"/>
      <c r="Y43" s="1164"/>
      <c r="Z43" s="1164"/>
      <c r="AA43" s="645"/>
      <c r="AB43" s="645"/>
      <c r="AE43" s="1539"/>
      <c r="AF43" s="1539"/>
      <c r="AG43" s="1539"/>
      <c r="AH43" s="1539"/>
      <c r="AI43" s="1539"/>
      <c r="AJ43" s="1539"/>
      <c r="AK43" s="1539"/>
      <c r="AL43" s="1539"/>
      <c r="AM43" s="1539"/>
      <c r="AN43" s="1539"/>
      <c r="AO43" s="1539"/>
      <c r="AP43" s="1539"/>
      <c r="AQ43" s="1539"/>
      <c r="AR43" s="1539"/>
      <c r="AS43" s="1539"/>
      <c r="AT43" s="1539"/>
    </row>
    <row r="44" spans="2:46" x14ac:dyDescent="0.3">
      <c r="B44" s="630" t="s">
        <v>54</v>
      </c>
      <c r="C44" s="447"/>
      <c r="D44" s="447"/>
      <c r="E44" s="447"/>
      <c r="F44" s="644" t="s">
        <v>55</v>
      </c>
      <c r="G44" s="636"/>
      <c r="I44" s="447" t="s">
        <v>61</v>
      </c>
      <c r="J44" s="447"/>
      <c r="K44" s="634"/>
      <c r="Q44" s="645"/>
      <c r="R44" s="645"/>
      <c r="S44" s="645"/>
      <c r="T44" s="645"/>
      <c r="U44" s="1501"/>
      <c r="V44" s="1850"/>
      <c r="W44" s="645"/>
      <c r="X44" s="645"/>
      <c r="Y44" s="645"/>
      <c r="Z44" s="645"/>
      <c r="AA44" s="645"/>
      <c r="AB44" s="645"/>
      <c r="AE44" s="1539"/>
      <c r="AF44" s="1539"/>
      <c r="AG44" s="1539"/>
      <c r="AH44" s="1539"/>
      <c r="AI44" s="1539"/>
      <c r="AJ44" s="1539"/>
      <c r="AK44" s="1539"/>
      <c r="AL44" s="1539"/>
      <c r="AM44" s="1539"/>
      <c r="AN44" s="1539"/>
      <c r="AO44" s="1539"/>
      <c r="AP44" s="1539"/>
      <c r="AQ44" s="1539"/>
      <c r="AR44" s="1539"/>
      <c r="AS44" s="1539"/>
      <c r="AT44" s="1539"/>
    </row>
    <row r="45" spans="2:46" x14ac:dyDescent="0.3">
      <c r="B45" s="630" t="s">
        <v>62</v>
      </c>
      <c r="C45" s="447"/>
      <c r="D45" s="447"/>
      <c r="E45" s="447"/>
      <c r="F45" s="823" t="str">
        <f>Данные!B30</f>
        <v>242.04.464-2</v>
      </c>
      <c r="G45" s="644" t="str">
        <f>IF(OR(Данные!G37="242.04.462",Данные!D30="242.04.462"),IF(Втулка!J29&gt;=1000," (две щели)"," (одна щель)"),"")</f>
        <v/>
      </c>
      <c r="I45" s="447" t="s">
        <v>59</v>
      </c>
      <c r="J45" s="1541" t="s">
        <v>1297</v>
      </c>
      <c r="K45" s="634"/>
      <c r="Q45" s="645"/>
      <c r="R45" s="645"/>
      <c r="S45" s="645"/>
      <c r="T45" s="645"/>
      <c r="U45" s="1852"/>
      <c r="V45" s="1501"/>
      <c r="W45" s="645"/>
      <c r="X45" s="645"/>
      <c r="Y45" s="645"/>
      <c r="Z45" s="645"/>
      <c r="AA45" s="645"/>
      <c r="AB45" s="645"/>
      <c r="AE45" s="1539"/>
      <c r="AF45" s="1539"/>
      <c r="AG45" s="1539"/>
      <c r="AH45" s="1539"/>
      <c r="AI45" s="1539"/>
      <c r="AJ45" s="1539"/>
      <c r="AK45" s="1539"/>
      <c r="AL45" s="1539"/>
      <c r="AM45" s="1539"/>
      <c r="AN45" s="1539"/>
      <c r="AO45" s="1539"/>
      <c r="AP45" s="1539"/>
      <c r="AQ45" s="1539"/>
      <c r="AR45" s="1539"/>
      <c r="AS45" s="1539"/>
      <c r="AT45" s="1539"/>
    </row>
    <row r="46" spans="2:46" ht="18" x14ac:dyDescent="0.35">
      <c r="B46" s="630" t="s">
        <v>1232</v>
      </c>
      <c r="C46" s="447"/>
      <c r="D46" s="447">
        <f>Данные!N248</f>
        <v>1000</v>
      </c>
      <c r="E46" s="447" t="str">
        <f>" Х "&amp;Данные!O248</f>
        <v xml:space="preserve"> Х 1000</v>
      </c>
      <c r="F46" s="639" t="str">
        <f>" Х "&amp;Данные!P248&amp;"  /  1 шт."</f>
        <v xml:space="preserve"> Х 200  /  1 шт.</v>
      </c>
      <c r="G46" s="1461"/>
      <c r="H46" s="1458"/>
      <c r="I46" s="447" t="s">
        <v>297</v>
      </c>
      <c r="J46" s="447">
        <v>4</v>
      </c>
      <c r="K46" s="634"/>
      <c r="Q46" s="645"/>
      <c r="R46" s="645"/>
      <c r="S46" s="645"/>
      <c r="T46" s="645"/>
      <c r="U46" s="1853"/>
      <c r="V46" s="1833"/>
      <c r="W46" s="645"/>
      <c r="X46" s="645"/>
      <c r="Y46" s="645"/>
      <c r="Z46" s="645"/>
      <c r="AA46" s="645"/>
      <c r="AB46" s="645"/>
      <c r="AE46" s="1539"/>
      <c r="AF46" s="1539"/>
      <c r="AG46" s="1539"/>
      <c r="AH46" s="1539"/>
      <c r="AI46" s="1539"/>
      <c r="AJ46" s="1539"/>
      <c r="AK46" s="1539"/>
      <c r="AL46" s="1539"/>
      <c r="AM46" s="1539"/>
      <c r="AN46" s="1539"/>
      <c r="AO46" s="1539"/>
      <c r="AP46" s="1539"/>
      <c r="AQ46" s="1539"/>
      <c r="AR46" s="1539"/>
      <c r="AS46" s="1539"/>
      <c r="AT46" s="1539"/>
    </row>
    <row r="47" spans="2:46" ht="18" x14ac:dyDescent="0.35">
      <c r="B47" s="1564" t="s">
        <v>1233</v>
      </c>
      <c r="C47" s="1565"/>
      <c r="D47" s="447">
        <f>IF(Данные!O251&gt;0,Данные!N251,"")</f>
        <v>350</v>
      </c>
      <c r="E47" s="647" t="str">
        <f>" мм. "&amp;" / "&amp;Данные!O251&amp;" шт."</f>
        <v xml:space="preserve"> мм.  / 1 шт.</v>
      </c>
      <c r="F47" s="639"/>
      <c r="G47" s="1461"/>
      <c r="H47" s="1458"/>
      <c r="I47" s="447"/>
      <c r="J47" s="447"/>
      <c r="K47" s="634"/>
      <c r="Q47" s="645"/>
      <c r="R47" s="645"/>
      <c r="S47" s="645"/>
      <c r="T47" s="645"/>
      <c r="U47" s="1501"/>
      <c r="V47" s="1833"/>
      <c r="W47" s="645"/>
      <c r="X47" s="645"/>
      <c r="Y47" s="645"/>
      <c r="Z47" s="645"/>
      <c r="AA47" s="645"/>
      <c r="AB47" s="645"/>
      <c r="AE47" s="1539"/>
      <c r="AF47" s="1539"/>
      <c r="AG47" s="1539"/>
      <c r="AH47" s="1539"/>
      <c r="AI47" s="1539"/>
      <c r="AJ47" s="1539"/>
      <c r="AK47" s="1539"/>
      <c r="AL47" s="1539"/>
      <c r="AM47" s="1539"/>
      <c r="AN47" s="1539"/>
      <c r="AO47" s="1539"/>
      <c r="AP47" s="1539"/>
      <c r="AQ47" s="1539"/>
      <c r="AR47" s="1539"/>
      <c r="AS47" s="1539"/>
      <c r="AT47" s="1539"/>
    </row>
    <row r="48" spans="2:46" x14ac:dyDescent="0.3">
      <c r="B48" s="630" t="s">
        <v>59</v>
      </c>
      <c r="C48" s="447"/>
      <c r="D48" s="447"/>
      <c r="E48" s="447"/>
      <c r="F48" s="669">
        <v>1.4999999999999999E-2</v>
      </c>
      <c r="G48" s="639"/>
      <c r="K48" s="634"/>
      <c r="Q48" s="645"/>
      <c r="R48" s="1851"/>
      <c r="S48" s="645"/>
      <c r="T48" s="645"/>
      <c r="U48" s="1501"/>
      <c r="V48" s="1501"/>
      <c r="W48" s="1851"/>
      <c r="X48" s="645"/>
      <c r="Y48" s="645"/>
      <c r="Z48" s="645"/>
      <c r="AA48" s="645"/>
      <c r="AB48" s="645"/>
      <c r="AE48" s="1539"/>
      <c r="AF48" s="1539"/>
      <c r="AG48" s="1539"/>
      <c r="AH48" s="1539"/>
      <c r="AI48" s="1539"/>
      <c r="AJ48" s="1539"/>
      <c r="AK48" s="1539"/>
      <c r="AL48" s="1539"/>
      <c r="AM48" s="1539"/>
      <c r="AN48" s="1539"/>
      <c r="AO48" s="1539"/>
      <c r="AP48" s="1539"/>
      <c r="AQ48" s="1539"/>
      <c r="AR48" s="1539"/>
      <c r="AS48" s="1539"/>
      <c r="AT48" s="1539"/>
    </row>
    <row r="49" spans="2:46" x14ac:dyDescent="0.3">
      <c r="B49" s="630"/>
      <c r="C49" s="626"/>
      <c r="D49" s="626"/>
      <c r="E49" s="626"/>
      <c r="F49" s="661"/>
      <c r="G49" s="661"/>
      <c r="H49" s="626"/>
      <c r="I49" s="447"/>
      <c r="J49" s="447"/>
      <c r="K49" s="634"/>
      <c r="Q49" s="645"/>
      <c r="R49" s="1851"/>
      <c r="S49" s="645"/>
      <c r="T49" s="645"/>
      <c r="U49" s="1501"/>
      <c r="V49" s="1501"/>
      <c r="W49" s="1851"/>
      <c r="X49" s="645"/>
      <c r="Y49" s="645"/>
      <c r="Z49" s="645"/>
      <c r="AA49" s="645"/>
      <c r="AB49" s="645"/>
      <c r="AE49" s="1539"/>
      <c r="AF49" s="1539"/>
      <c r="AG49" s="1539"/>
      <c r="AH49" s="1539"/>
      <c r="AI49" s="1539"/>
      <c r="AJ49" s="1539"/>
      <c r="AK49" s="1539"/>
      <c r="AL49" s="1539"/>
      <c r="AM49" s="1539"/>
      <c r="AN49" s="1539"/>
      <c r="AO49" s="1539"/>
      <c r="AP49" s="1539"/>
      <c r="AQ49" s="1539"/>
      <c r="AR49" s="1539"/>
      <c r="AS49" s="1539"/>
      <c r="AT49" s="1539"/>
    </row>
    <row r="50" spans="2:46" ht="16.2" thickBot="1" x14ac:dyDescent="0.35">
      <c r="B50" s="630"/>
      <c r="C50" s="447" t="s">
        <v>1296</v>
      </c>
      <c r="D50" s="447"/>
      <c r="E50" s="447"/>
      <c r="F50" s="644"/>
      <c r="G50" s="644" t="s">
        <v>66</v>
      </c>
      <c r="H50" s="447"/>
      <c r="I50" s="447"/>
      <c r="J50" s="447"/>
      <c r="K50" s="634"/>
      <c r="Q50" s="645"/>
      <c r="R50" s="645"/>
      <c r="S50" s="645"/>
      <c r="T50" s="645"/>
      <c r="U50" s="1501"/>
      <c r="V50" s="1501"/>
      <c r="W50" s="645"/>
      <c r="X50" s="645"/>
      <c r="Y50" s="645"/>
      <c r="Z50" s="645"/>
      <c r="AA50" s="645"/>
      <c r="AB50" s="645"/>
      <c r="AE50" s="1539"/>
      <c r="AF50" s="1539"/>
      <c r="AG50" s="1539"/>
      <c r="AH50" s="1539"/>
      <c r="AI50" s="1539"/>
      <c r="AJ50" s="1539"/>
      <c r="AK50" s="1539"/>
      <c r="AL50" s="1539"/>
      <c r="AM50" s="1539"/>
      <c r="AN50" s="1539"/>
      <c r="AO50" s="1539"/>
      <c r="AP50" s="1539"/>
      <c r="AQ50" s="1539"/>
      <c r="AR50" s="1539"/>
      <c r="AS50" s="1539"/>
      <c r="AT50" s="1539"/>
    </row>
    <row r="51" spans="2:46" ht="16.2" thickBot="1" x14ac:dyDescent="0.35">
      <c r="B51" s="1556" t="s">
        <v>67</v>
      </c>
      <c r="C51" s="1557"/>
      <c r="D51" s="1557"/>
      <c r="E51" s="1558"/>
      <c r="F51" s="1511" t="s">
        <v>68</v>
      </c>
      <c r="G51" s="1508" t="s">
        <v>67</v>
      </c>
      <c r="H51" s="1512" t="s">
        <v>69</v>
      </c>
      <c r="I51" s="1513" t="s">
        <v>67</v>
      </c>
      <c r="J51" s="1556" t="s">
        <v>1165</v>
      </c>
      <c r="K51" s="1558"/>
      <c r="Q51" s="929"/>
      <c r="R51" s="929"/>
      <c r="S51" s="929"/>
      <c r="T51" s="929"/>
      <c r="U51" s="1501"/>
      <c r="V51" s="1501"/>
      <c r="W51" s="645"/>
      <c r="X51" s="645"/>
      <c r="Y51" s="645"/>
      <c r="Z51" s="645"/>
      <c r="AA51" s="645"/>
      <c r="AB51" s="645"/>
      <c r="AE51" s="1539"/>
      <c r="AF51" s="1539"/>
      <c r="AG51" s="1539"/>
      <c r="AH51" s="1539"/>
      <c r="AI51" s="1539"/>
      <c r="AJ51" s="1539"/>
      <c r="AK51" s="1539"/>
      <c r="AL51" s="1539"/>
      <c r="AM51" s="1539"/>
      <c r="AN51" s="1539"/>
      <c r="AO51" s="1539"/>
      <c r="AP51" s="1539"/>
      <c r="AQ51" s="1539"/>
      <c r="AR51" s="1539"/>
      <c r="AS51" s="1539"/>
      <c r="AT51" s="1539"/>
    </row>
    <row r="52" spans="2:46" ht="16.2" thickBot="1" x14ac:dyDescent="0.35">
      <c r="B52" s="1559">
        <f t="shared" ref="B52:E52" ca="1" si="0">TODAY()</f>
        <v>45428</v>
      </c>
      <c r="C52" s="1560"/>
      <c r="D52" s="1560"/>
      <c r="E52" s="1561"/>
      <c r="F52" s="1504"/>
      <c r="G52" s="1503"/>
      <c r="H52" s="1512"/>
      <c r="I52" s="1512"/>
      <c r="J52" s="1556"/>
      <c r="K52" s="1558"/>
      <c r="Q52" s="1864"/>
      <c r="R52" s="1864"/>
      <c r="S52" s="1864"/>
      <c r="T52" s="1864"/>
      <c r="U52" s="1501"/>
      <c r="V52" s="645"/>
      <c r="W52" s="645"/>
      <c r="X52" s="645"/>
      <c r="Y52" s="645"/>
      <c r="Z52" s="645"/>
      <c r="AA52" s="645"/>
      <c r="AB52" s="645"/>
      <c r="AE52" s="1539"/>
      <c r="AF52" s="1539"/>
      <c r="AG52" s="1539"/>
      <c r="AH52" s="1539"/>
      <c r="AI52" s="1539"/>
      <c r="AJ52" s="1539"/>
      <c r="AK52" s="1539"/>
      <c r="AL52" s="1539"/>
      <c r="AM52" s="1539"/>
      <c r="AN52" s="1539"/>
      <c r="AO52" s="1539"/>
      <c r="AP52" s="1539"/>
      <c r="AQ52" s="1539"/>
      <c r="AR52" s="1539"/>
      <c r="AS52" s="1539"/>
      <c r="AT52" s="1539"/>
    </row>
    <row r="53" spans="2:46" ht="16.2" thickBot="1" x14ac:dyDescent="0.35">
      <c r="B53" s="1556" t="s">
        <v>70</v>
      </c>
      <c r="C53" s="1557"/>
      <c r="D53" s="1557"/>
      <c r="E53" s="1558"/>
      <c r="F53" s="1512"/>
      <c r="G53" s="1503"/>
      <c r="H53" s="1512"/>
      <c r="I53" s="1512"/>
      <c r="J53" s="1514"/>
      <c r="K53" s="651"/>
      <c r="Q53" s="929"/>
      <c r="R53" s="929"/>
      <c r="S53" s="929"/>
      <c r="T53" s="929"/>
      <c r="U53" s="1501"/>
      <c r="V53" s="645"/>
      <c r="W53" s="645"/>
      <c r="X53" s="645"/>
      <c r="Y53" s="645"/>
      <c r="Z53" s="645"/>
      <c r="AA53" s="645"/>
      <c r="AB53" s="645"/>
      <c r="AE53" s="1539"/>
      <c r="AF53" s="1539"/>
      <c r="AG53" s="1539"/>
      <c r="AH53" s="1539"/>
      <c r="AI53" s="1539"/>
      <c r="AJ53" s="1539"/>
      <c r="AK53" s="1539"/>
      <c r="AL53" s="1539"/>
      <c r="AM53" s="1539"/>
      <c r="AN53" s="1539"/>
      <c r="AO53" s="1539"/>
      <c r="AP53" s="1539"/>
      <c r="AQ53" s="1539"/>
      <c r="AR53" s="1539"/>
      <c r="AS53" s="1539"/>
      <c r="AT53" s="1539"/>
    </row>
    <row r="54" spans="2:46" ht="16.2" thickBot="1" x14ac:dyDescent="0.35">
      <c r="B54" s="630"/>
      <c r="C54" s="447"/>
      <c r="D54" s="447"/>
      <c r="E54" s="447"/>
      <c r="F54" s="447"/>
      <c r="G54" s="447"/>
      <c r="H54" s="447"/>
      <c r="I54" s="447"/>
      <c r="J54" s="447"/>
      <c r="K54" s="634"/>
      <c r="Q54" s="929"/>
      <c r="R54" s="929"/>
      <c r="S54" s="929"/>
      <c r="T54" s="929"/>
      <c r="U54" s="645"/>
      <c r="V54" s="645"/>
      <c r="W54" s="645"/>
      <c r="X54" s="645"/>
      <c r="Y54" s="645"/>
      <c r="Z54" s="645"/>
      <c r="AA54" s="1544"/>
      <c r="AB54" s="645"/>
      <c r="AE54" s="1539"/>
      <c r="AF54" s="1539"/>
      <c r="AG54" s="1539"/>
      <c r="AH54" s="1539"/>
      <c r="AI54" s="1539"/>
      <c r="AJ54" s="1539"/>
      <c r="AK54" s="1539"/>
      <c r="AL54" s="1539"/>
      <c r="AM54" s="1539"/>
      <c r="AN54" s="1539"/>
      <c r="AO54" s="1539"/>
      <c r="AP54" s="1539"/>
      <c r="AQ54" s="1539"/>
      <c r="AR54" s="1539"/>
      <c r="AS54" s="1539"/>
      <c r="AT54" s="1539"/>
    </row>
    <row r="55" spans="2:46" ht="16.2" thickBot="1" x14ac:dyDescent="0.35">
      <c r="B55" s="1545" t="s">
        <v>6</v>
      </c>
      <c r="C55" s="1546"/>
      <c r="D55" s="1546"/>
      <c r="E55" s="1547"/>
      <c r="F55" s="681" t="s">
        <v>295</v>
      </c>
      <c r="G55" s="682" t="s">
        <v>296</v>
      </c>
      <c r="H55" s="681" t="s">
        <v>296</v>
      </c>
      <c r="I55" s="681" t="s">
        <v>297</v>
      </c>
      <c r="J55" s="1553" t="s">
        <v>298</v>
      </c>
      <c r="K55" s="1554"/>
      <c r="Q55" s="1865"/>
      <c r="R55" s="1865"/>
      <c r="S55" s="1865"/>
      <c r="T55" s="1865"/>
      <c r="U55" s="1544"/>
      <c r="V55" s="1544"/>
      <c r="W55" s="1544"/>
      <c r="X55" s="1544"/>
      <c r="Y55" s="1865"/>
      <c r="Z55" s="1865"/>
      <c r="AA55" s="1544"/>
      <c r="AB55" s="645"/>
      <c r="AE55" s="1539"/>
      <c r="AF55" s="1539"/>
      <c r="AG55" s="1539"/>
      <c r="AH55" s="1539"/>
      <c r="AI55" s="1539"/>
      <c r="AJ55" s="1539"/>
      <c r="AK55" s="1539"/>
      <c r="AL55" s="1539"/>
      <c r="AM55" s="1539"/>
      <c r="AN55" s="1539"/>
      <c r="AO55" s="1539"/>
      <c r="AP55" s="1539"/>
      <c r="AQ55" s="1539"/>
      <c r="AR55" s="1539"/>
      <c r="AS55" s="1539"/>
      <c r="AT55" s="1539"/>
    </row>
    <row r="56" spans="2:46" ht="16.2" thickBot="1" x14ac:dyDescent="0.35">
      <c r="B56" s="1548" t="s">
        <v>299</v>
      </c>
      <c r="C56" s="1549"/>
      <c r="D56" s="1549"/>
      <c r="E56" s="1550"/>
      <c r="F56" s="686" t="s">
        <v>1299</v>
      </c>
      <c r="G56" s="686" t="s">
        <v>301</v>
      </c>
      <c r="H56" s="686" t="s">
        <v>302</v>
      </c>
      <c r="I56" s="686"/>
      <c r="J56" s="1553" t="s">
        <v>303</v>
      </c>
      <c r="K56" s="1554"/>
      <c r="Q56" s="1865"/>
      <c r="R56" s="1865"/>
      <c r="S56" s="1865"/>
      <c r="T56" s="1865"/>
      <c r="U56" s="1544"/>
      <c r="V56" s="1544"/>
      <c r="W56" s="1544"/>
      <c r="X56" s="1544"/>
      <c r="Y56" s="1865"/>
      <c r="Z56" s="1865"/>
      <c r="AA56" s="645"/>
      <c r="AB56" s="645"/>
      <c r="AE56" s="1539"/>
      <c r="AF56" s="1539"/>
      <c r="AG56" s="1539"/>
      <c r="AH56" s="1539"/>
      <c r="AI56" s="1539"/>
      <c r="AJ56" s="1539"/>
      <c r="AK56" s="1539"/>
      <c r="AL56" s="1539"/>
      <c r="AM56" s="1539"/>
      <c r="AN56" s="1539"/>
      <c r="AO56" s="1539"/>
      <c r="AP56" s="1539"/>
      <c r="AQ56" s="1539"/>
      <c r="AR56" s="1539"/>
      <c r="AS56" s="1539"/>
      <c r="AT56" s="1539"/>
    </row>
    <row r="57" spans="2:46" ht="16.2" thickBot="1" x14ac:dyDescent="0.35">
      <c r="B57" s="1553" t="s">
        <v>400</v>
      </c>
      <c r="C57" s="1555"/>
      <c r="D57" s="1555"/>
      <c r="E57" s="1554"/>
      <c r="F57" s="688">
        <v>40</v>
      </c>
      <c r="G57" s="689">
        <v>1</v>
      </c>
      <c r="H57" s="688">
        <v>20</v>
      </c>
      <c r="I57" s="686">
        <v>3</v>
      </c>
      <c r="J57" s="1553">
        <f>ROUND(D46*Данные!O248*(Данные!N257)/1000000*2.045*2.3/1000/G18,3)</f>
        <v>3.528</v>
      </c>
      <c r="K57" s="1554"/>
      <c r="Q57" s="1865"/>
      <c r="R57" s="1865"/>
      <c r="S57" s="1865"/>
      <c r="T57" s="1865"/>
      <c r="U57" s="1544"/>
      <c r="V57" s="1544"/>
      <c r="W57" s="1544"/>
      <c r="X57" s="1544"/>
      <c r="Y57" s="1865"/>
      <c r="Z57" s="1865"/>
      <c r="AA57" s="645"/>
      <c r="AB57" s="645"/>
      <c r="AE57" s="1539"/>
      <c r="AF57" s="1539"/>
      <c r="AG57" s="1539"/>
      <c r="AH57" s="1539"/>
      <c r="AI57" s="1539"/>
      <c r="AJ57" s="1539"/>
      <c r="AK57" s="1539"/>
      <c r="AL57" s="1539"/>
      <c r="AM57" s="1539"/>
      <c r="AN57" s="1539"/>
      <c r="AO57" s="1539"/>
      <c r="AP57" s="1539"/>
      <c r="AQ57" s="1539"/>
      <c r="AR57" s="1539"/>
      <c r="AS57" s="1539"/>
      <c r="AT57" s="1539"/>
    </row>
    <row r="58" spans="2:46" ht="16.2" thickBot="1" x14ac:dyDescent="0.35">
      <c r="B58" s="1553" t="s">
        <v>48</v>
      </c>
      <c r="C58" s="1555"/>
      <c r="D58" s="1555"/>
      <c r="E58" s="1554"/>
      <c r="F58" s="690">
        <v>40</v>
      </c>
      <c r="G58" s="691">
        <v>1</v>
      </c>
      <c r="H58" s="690">
        <v>20</v>
      </c>
      <c r="I58" s="686">
        <v>4</v>
      </c>
      <c r="J58" s="1553">
        <f t="shared" ref="J58:K58" si="1">ROUND(J39/1000*3.5/G19,3)</f>
        <v>0.77400000000000002</v>
      </c>
      <c r="K58" s="1554"/>
      <c r="Q58" s="1865"/>
      <c r="R58" s="1865"/>
      <c r="S58" s="1865"/>
      <c r="T58" s="1865"/>
      <c r="U58" s="1544"/>
      <c r="V58" s="1544"/>
      <c r="W58" s="1544"/>
      <c r="X58" s="1544"/>
      <c r="Y58" s="1865"/>
      <c r="Z58" s="1865"/>
      <c r="AA58" s="645"/>
      <c r="AB58" s="645"/>
      <c r="AE58" s="1539"/>
      <c r="AF58" s="1539"/>
      <c r="AG58" s="1539"/>
      <c r="AH58" s="1539"/>
      <c r="AI58" s="1539"/>
      <c r="AJ58" s="1539"/>
      <c r="AK58" s="1539"/>
      <c r="AL58" s="1539"/>
      <c r="AM58" s="1539"/>
      <c r="AN58" s="1539"/>
      <c r="AO58" s="1539"/>
      <c r="AP58" s="1539"/>
      <c r="AQ58" s="1539"/>
      <c r="AR58" s="1539"/>
      <c r="AS58" s="1539"/>
      <c r="AT58" s="1539"/>
    </row>
    <row r="59" spans="2:46" x14ac:dyDescent="0.3">
      <c r="K59" s="447"/>
      <c r="Q59" s="645"/>
      <c r="R59" s="645"/>
      <c r="S59" s="645"/>
      <c r="T59" s="645"/>
      <c r="U59" s="645"/>
      <c r="V59" s="645"/>
      <c r="W59" s="645"/>
      <c r="X59" s="645"/>
      <c r="Y59" s="645"/>
      <c r="Z59" s="645"/>
      <c r="AA59" s="645"/>
      <c r="AB59" s="645"/>
      <c r="AE59" s="1539"/>
      <c r="AF59" s="1539"/>
      <c r="AG59" s="1539"/>
      <c r="AH59" s="1539"/>
      <c r="AI59" s="1539"/>
      <c r="AJ59" s="1539"/>
      <c r="AK59" s="1539"/>
      <c r="AL59" s="1539"/>
      <c r="AM59" s="1539"/>
      <c r="AN59" s="1539"/>
      <c r="AO59" s="1539"/>
      <c r="AP59" s="1539"/>
      <c r="AQ59" s="1539"/>
      <c r="AR59" s="1539"/>
      <c r="AS59" s="1539"/>
      <c r="AT59" s="1539"/>
    </row>
    <row r="60" spans="2:46" x14ac:dyDescent="0.3">
      <c r="K60" s="447"/>
      <c r="Q60" s="645"/>
      <c r="R60" s="645"/>
      <c r="S60" s="645"/>
      <c r="T60" s="645"/>
      <c r="U60" s="645"/>
      <c r="V60" s="645"/>
      <c r="W60" s="645"/>
      <c r="X60" s="645"/>
      <c r="Y60" s="645"/>
      <c r="Z60" s="645"/>
      <c r="AA60" s="645"/>
      <c r="AB60" s="645"/>
      <c r="AE60" s="1539"/>
      <c r="AF60" s="1539"/>
      <c r="AG60" s="1539"/>
      <c r="AH60" s="1539"/>
      <c r="AI60" s="1539"/>
      <c r="AJ60" s="1539"/>
      <c r="AK60" s="1539"/>
      <c r="AL60" s="1539"/>
      <c r="AM60" s="1539"/>
      <c r="AN60" s="1539"/>
      <c r="AO60" s="1539"/>
      <c r="AP60" s="1539"/>
      <c r="AQ60" s="1539"/>
      <c r="AR60" s="1539"/>
      <c r="AS60" s="1539"/>
      <c r="AT60" s="1539"/>
    </row>
    <row r="61" spans="2:46" x14ac:dyDescent="0.3">
      <c r="K61" s="447"/>
      <c r="AE61" s="1539"/>
      <c r="AF61" s="1539"/>
      <c r="AG61" s="1539"/>
      <c r="AH61" s="1539"/>
      <c r="AI61" s="1539"/>
      <c r="AJ61" s="1539"/>
      <c r="AK61" s="1539"/>
      <c r="AL61" s="1539"/>
      <c r="AM61" s="1539"/>
      <c r="AN61" s="1539"/>
      <c r="AO61" s="1539"/>
      <c r="AP61" s="1539"/>
      <c r="AQ61" s="1539"/>
      <c r="AR61" s="1539"/>
      <c r="AS61" s="1539"/>
      <c r="AT61" s="1539"/>
    </row>
    <row r="62" spans="2:46" x14ac:dyDescent="0.3">
      <c r="AE62" s="1539"/>
      <c r="AF62" s="1539"/>
      <c r="AG62" s="1539"/>
      <c r="AH62" s="1539"/>
      <c r="AI62" s="1539"/>
      <c r="AJ62" s="1539"/>
      <c r="AK62" s="1539"/>
      <c r="AL62" s="1539"/>
      <c r="AM62" s="1539"/>
      <c r="AN62" s="1539"/>
      <c r="AO62" s="1539"/>
      <c r="AP62" s="1539"/>
      <c r="AQ62" s="1539"/>
      <c r="AR62" s="1539"/>
      <c r="AS62" s="1539"/>
      <c r="AT62" s="1539"/>
    </row>
    <row r="63" spans="2:46" x14ac:dyDescent="0.3">
      <c r="AE63" s="1539"/>
      <c r="AF63" s="1539"/>
      <c r="AG63" s="1539"/>
      <c r="AH63" s="1539"/>
      <c r="AI63" s="1539"/>
      <c r="AJ63" s="1539"/>
      <c r="AK63" s="1539"/>
      <c r="AL63" s="1539"/>
      <c r="AM63" s="1539"/>
      <c r="AN63" s="1539"/>
      <c r="AO63" s="1539"/>
      <c r="AP63" s="1539"/>
      <c r="AQ63" s="1539"/>
      <c r="AR63" s="1539"/>
      <c r="AS63" s="1539"/>
      <c r="AT63" s="1539"/>
    </row>
    <row r="64" spans="2:46" x14ac:dyDescent="0.3">
      <c r="AE64" s="1539"/>
      <c r="AF64" s="1539"/>
      <c r="AG64" s="1539"/>
      <c r="AH64" s="1539"/>
      <c r="AI64" s="1539"/>
      <c r="AJ64" s="1539"/>
      <c r="AK64" s="1539"/>
      <c r="AL64" s="1539"/>
      <c r="AM64" s="1539"/>
      <c r="AN64" s="1539"/>
      <c r="AO64" s="1539"/>
      <c r="AP64" s="1539"/>
      <c r="AQ64" s="1539"/>
      <c r="AR64" s="1539"/>
      <c r="AS64" s="1539"/>
      <c r="AT64" s="1539"/>
    </row>
    <row r="65" spans="13:46" x14ac:dyDescent="0.3">
      <c r="AE65" s="1539"/>
      <c r="AF65" s="1539"/>
      <c r="AG65" s="1539"/>
      <c r="AH65" s="1539"/>
      <c r="AI65" s="1539"/>
      <c r="AJ65" s="1539"/>
      <c r="AK65" s="1539"/>
      <c r="AL65" s="1539"/>
      <c r="AM65" s="1539"/>
      <c r="AN65" s="1539"/>
      <c r="AO65" s="1539"/>
      <c r="AP65" s="1539"/>
      <c r="AQ65" s="1539"/>
      <c r="AR65" s="1539"/>
      <c r="AS65" s="1539"/>
      <c r="AT65" s="1539"/>
    </row>
    <row r="74" spans="13:46" x14ac:dyDescent="0.3">
      <c r="M74" s="447"/>
    </row>
    <row r="75" spans="13:46" x14ac:dyDescent="0.3">
      <c r="M75" s="447"/>
    </row>
    <row r="79" spans="13:46" ht="15" customHeight="1" x14ac:dyDescent="0.3"/>
  </sheetData>
  <mergeCells count="15">
    <mergeCell ref="M32:M33"/>
    <mergeCell ref="B51:E51"/>
    <mergeCell ref="B52:E52"/>
    <mergeCell ref="B53:E53"/>
    <mergeCell ref="J51:K51"/>
    <mergeCell ref="J52:K52"/>
    <mergeCell ref="B47:C47"/>
    <mergeCell ref="J58:K58"/>
    <mergeCell ref="J57:K57"/>
    <mergeCell ref="J55:K55"/>
    <mergeCell ref="J56:K56"/>
    <mergeCell ref="B55:E55"/>
    <mergeCell ref="B56:E56"/>
    <mergeCell ref="B57:E57"/>
    <mergeCell ref="B58:E58"/>
  </mergeCells>
  <pageMargins left="0.7" right="0.7" top="0.75" bottom="0.75" header="0.511811023622047" footer="0.511811023622047"/>
  <pageSetup paperSize="9"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25</xdr:row>
                    <xdr:rowOff>0</xdr:rowOff>
                  </from>
                  <to>
                    <xdr:col>14</xdr:col>
                    <xdr:colOff>358140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0</xdr:rowOff>
                  </from>
                  <to>
                    <xdr:col>14</xdr:col>
                    <xdr:colOff>236220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>
                <anchor moveWithCells="1">
                  <from>
                    <xdr:col>14</xdr:col>
                    <xdr:colOff>22860</xdr:colOff>
                    <xdr:row>18</xdr:row>
                    <xdr:rowOff>182880</xdr:rowOff>
                  </from>
                  <to>
                    <xdr:col>14</xdr:col>
                    <xdr:colOff>693420</xdr:colOff>
                    <xdr:row>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btn_vtulka_sbros" altText="Начать с начала.">
                <anchor moveWithCells="1" sizeWithCells="1">
                  <from>
                    <xdr:col>12</xdr:col>
                    <xdr:colOff>76200</xdr:colOff>
                    <xdr:row>27</xdr:row>
                    <xdr:rowOff>144780</xdr:rowOff>
                  </from>
                  <to>
                    <xdr:col>13</xdr:col>
                    <xdr:colOff>830580</xdr:colOff>
                    <xdr:row>30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V8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/>
  <dimension ref="B1:N69"/>
  <sheetViews>
    <sheetView topLeftCell="A13" zoomScale="70" zoomScaleNormal="70" workbookViewId="0">
      <selection activeCell="Q17" sqref="Q17"/>
    </sheetView>
  </sheetViews>
  <sheetFormatPr defaultRowHeight="15.6" x14ac:dyDescent="0.3"/>
  <cols>
    <col min="1" max="1" width="2.21875" customWidth="1"/>
    <col min="2" max="2" width="4.21875" style="632" customWidth="1"/>
    <col min="3" max="3" width="9.88671875" style="632" customWidth="1"/>
    <col min="4" max="4" width="8.6640625" style="632" customWidth="1"/>
    <col min="5" max="5" width="12.21875" style="632" customWidth="1"/>
    <col min="6" max="6" width="15.5546875" style="632" customWidth="1"/>
    <col min="7" max="7" width="8.44140625" style="632" customWidth="1"/>
    <col min="8" max="8" width="11.44140625" style="632" customWidth="1"/>
    <col min="9" max="9" width="8.77734375" style="632" customWidth="1"/>
    <col min="10" max="10" width="11" style="632" customWidth="1"/>
    <col min="11" max="11" width="12.44140625" style="632" customWidth="1"/>
    <col min="12" max="12" width="3.21875" style="632" customWidth="1"/>
    <col min="13" max="13" width="30.5546875" style="632" customWidth="1"/>
    <col min="14" max="14" width="13.5546875" style="632" customWidth="1"/>
  </cols>
  <sheetData>
    <row r="1" spans="2:14" ht="16.2" thickBot="1" x14ac:dyDescent="0.35">
      <c r="K1" s="632" t="s">
        <v>404</v>
      </c>
    </row>
    <row r="2" spans="2:14" ht="16.2" thickBot="1" x14ac:dyDescent="0.35">
      <c r="B2" s="673"/>
      <c r="C2" s="675"/>
      <c r="D2" s="675"/>
      <c r="E2" s="675"/>
      <c r="F2" s="675" t="s">
        <v>0</v>
      </c>
      <c r="G2" s="675"/>
      <c r="H2" s="675"/>
      <c r="I2" s="675"/>
      <c r="J2" s="675"/>
      <c r="K2" s="674" t="s">
        <v>1097</v>
      </c>
    </row>
    <row r="3" spans="2:14" x14ac:dyDescent="0.3">
      <c r="B3" s="637"/>
      <c r="C3" s="631" t="s">
        <v>2</v>
      </c>
      <c r="D3" s="631"/>
      <c r="E3" s="631"/>
      <c r="F3" s="631"/>
      <c r="G3" s="853" t="s">
        <v>947</v>
      </c>
      <c r="H3" s="631"/>
      <c r="I3" s="631"/>
      <c r="J3" s="803" t="s">
        <v>652</v>
      </c>
      <c r="K3" s="633" t="s">
        <v>375</v>
      </c>
    </row>
    <row r="4" spans="2:14" x14ac:dyDescent="0.3">
      <c r="B4" s="630"/>
      <c r="C4" s="447" t="s">
        <v>4</v>
      </c>
      <c r="D4" s="447"/>
      <c r="E4" s="447"/>
      <c r="F4" s="447"/>
      <c r="G4" s="854" t="s">
        <v>951</v>
      </c>
      <c r="H4" s="447"/>
      <c r="I4" s="447"/>
      <c r="J4" s="833"/>
      <c r="K4" s="634"/>
    </row>
    <row r="5" spans="2:14" x14ac:dyDescent="0.3">
      <c r="B5" s="630"/>
      <c r="C5" s="447" t="s">
        <v>6</v>
      </c>
      <c r="D5" s="447"/>
      <c r="E5" s="447"/>
      <c r="F5" s="447"/>
      <c r="G5" s="647" t="s">
        <v>950</v>
      </c>
      <c r="H5" s="447"/>
      <c r="I5" s="447"/>
      <c r="J5" s="703"/>
      <c r="K5" s="634"/>
    </row>
    <row r="6" spans="2:14" ht="16.2" thickBot="1" x14ac:dyDescent="0.35">
      <c r="B6" s="648"/>
      <c r="C6" s="649" t="s">
        <v>10</v>
      </c>
      <c r="D6" s="649"/>
      <c r="E6" s="649"/>
      <c r="F6" s="649"/>
      <c r="G6" s="855" t="s">
        <v>805</v>
      </c>
      <c r="H6" s="649"/>
      <c r="I6" s="649"/>
      <c r="J6" s="806"/>
      <c r="K6" s="677"/>
    </row>
    <row r="7" spans="2:14" x14ac:dyDescent="0.3">
      <c r="B7" s="630"/>
      <c r="C7" s="447"/>
      <c r="E7" s="447"/>
      <c r="F7" s="447"/>
      <c r="G7" s="647"/>
      <c r="H7" s="447"/>
      <c r="I7" s="447"/>
      <c r="J7" s="447"/>
      <c r="K7" s="634"/>
    </row>
    <row r="8" spans="2:14" x14ac:dyDescent="0.3">
      <c r="B8" s="630"/>
      <c r="C8" s="447" t="s">
        <v>16</v>
      </c>
      <c r="E8" s="447"/>
      <c r="F8" s="447"/>
      <c r="G8" s="668" t="s">
        <v>952</v>
      </c>
      <c r="H8" s="447"/>
      <c r="I8" s="447"/>
      <c r="J8" s="447" t="s">
        <v>17</v>
      </c>
      <c r="K8" s="640">
        <f>G9/G13</f>
        <v>0.17534246575342466</v>
      </c>
    </row>
    <row r="9" spans="2:14" x14ac:dyDescent="0.3">
      <c r="B9" s="630"/>
      <c r="C9" s="447" t="s">
        <v>19</v>
      </c>
      <c r="E9" s="447"/>
      <c r="F9" s="447"/>
      <c r="G9" s="641">
        <f>IF(N28=0,N27,N28)</f>
        <v>256</v>
      </c>
      <c r="H9" s="642"/>
      <c r="I9" s="447"/>
      <c r="J9" s="447"/>
      <c r="K9" s="640"/>
    </row>
    <row r="10" spans="2:14" x14ac:dyDescent="0.3">
      <c r="B10" s="630"/>
      <c r="C10" s="447" t="s">
        <v>22</v>
      </c>
      <c r="E10" s="447"/>
      <c r="F10" s="447"/>
      <c r="G10" s="643">
        <f>ROUNDUP(N19,0)</f>
        <v>-1547</v>
      </c>
      <c r="H10" s="1502">
        <v>870</v>
      </c>
      <c r="I10" s="447"/>
      <c r="J10" s="447" t="s">
        <v>23</v>
      </c>
      <c r="K10" s="640">
        <f>G9/G14</f>
        <v>0.16842105263157894</v>
      </c>
      <c r="M10" s="831" t="s">
        <v>1</v>
      </c>
      <c r="N10" s="832"/>
    </row>
    <row r="11" spans="2:14" x14ac:dyDescent="0.3">
      <c r="B11" s="630"/>
      <c r="C11" s="447" t="s">
        <v>24</v>
      </c>
      <c r="E11" s="447"/>
      <c r="F11" s="447"/>
      <c r="G11" s="641">
        <v>418</v>
      </c>
      <c r="H11" s="1502"/>
      <c r="I11" s="447"/>
      <c r="J11" s="447"/>
      <c r="K11" s="640"/>
      <c r="M11" s="802" t="s">
        <v>1101</v>
      </c>
      <c r="N11" s="710">
        <v>545</v>
      </c>
    </row>
    <row r="12" spans="2:14" x14ac:dyDescent="0.3">
      <c r="B12" s="630"/>
      <c r="C12" s="645" t="s">
        <v>352</v>
      </c>
      <c r="E12" s="645"/>
      <c r="F12" s="447"/>
      <c r="G12" s="641">
        <v>172</v>
      </c>
      <c r="H12" s="1502"/>
      <c r="I12" s="447"/>
      <c r="J12" s="447"/>
      <c r="K12" s="640"/>
      <c r="M12" s="802" t="s">
        <v>1102</v>
      </c>
      <c r="N12" s="710">
        <v>425</v>
      </c>
    </row>
    <row r="13" spans="2:14" x14ac:dyDescent="0.3">
      <c r="B13" s="630"/>
      <c r="C13" s="447" t="s">
        <v>27</v>
      </c>
      <c r="E13" s="447"/>
      <c r="F13" s="447"/>
      <c r="G13" s="641">
        <v>1460</v>
      </c>
      <c r="H13" s="1502"/>
      <c r="I13" s="447"/>
      <c r="J13" s="447"/>
      <c r="K13" s="634"/>
      <c r="M13" s="802" t="s">
        <v>1103</v>
      </c>
      <c r="N13" s="710">
        <v>400</v>
      </c>
    </row>
    <row r="14" spans="2:14" x14ac:dyDescent="0.3">
      <c r="B14" s="630"/>
      <c r="C14" s="447" t="s">
        <v>32</v>
      </c>
      <c r="E14" s="447"/>
      <c r="F14" s="447"/>
      <c r="G14" s="641">
        <v>1520</v>
      </c>
      <c r="H14" s="1502"/>
      <c r="I14" s="447"/>
      <c r="J14" s="447"/>
      <c r="K14" s="646"/>
      <c r="M14" s="802" t="s">
        <v>1104</v>
      </c>
      <c r="N14" s="710">
        <v>318</v>
      </c>
    </row>
    <row r="15" spans="2:14" ht="16.2" thickBot="1" x14ac:dyDescent="0.35">
      <c r="B15" s="648"/>
      <c r="C15" s="649" t="s">
        <v>36</v>
      </c>
      <c r="E15" s="649"/>
      <c r="F15" s="649"/>
      <c r="G15" s="818">
        <v>1</v>
      </c>
      <c r="H15" s="649"/>
      <c r="I15" s="649"/>
      <c r="J15" s="649"/>
      <c r="K15" s="651"/>
      <c r="M15" s="802" t="s">
        <v>8</v>
      </c>
      <c r="N15" s="710">
        <v>1540</v>
      </c>
    </row>
    <row r="16" spans="2:14" x14ac:dyDescent="0.3">
      <c r="B16" s="637"/>
      <c r="C16" s="631"/>
      <c r="D16" s="631" t="s">
        <v>220</v>
      </c>
      <c r="E16" s="631"/>
      <c r="F16" s="631"/>
      <c r="G16" s="631"/>
      <c r="H16" s="631"/>
      <c r="I16" s="631" t="s">
        <v>376</v>
      </c>
      <c r="J16" s="820"/>
      <c r="K16" s="821"/>
      <c r="M16" s="804" t="s">
        <v>12</v>
      </c>
      <c r="N16" s="805">
        <f>VLOOKUP(G8,Данные!A3:I27,9,FALSE())</f>
        <v>9.1999999999999993</v>
      </c>
    </row>
    <row r="17" spans="2:14" x14ac:dyDescent="0.3">
      <c r="B17" s="630"/>
      <c r="C17" s="447"/>
      <c r="D17" s="652">
        <f>ROUNDUP(N17*0.985,0)</f>
        <v>217</v>
      </c>
      <c r="E17" s="652"/>
      <c r="F17" s="626">
        <f>ROUND(N15*0.985,0)</f>
        <v>1517</v>
      </c>
      <c r="G17" s="447"/>
      <c r="H17" s="447"/>
      <c r="I17" s="447"/>
      <c r="J17" s="653"/>
      <c r="K17" s="654"/>
      <c r="M17" s="802" t="s">
        <v>14</v>
      </c>
      <c r="N17" s="808">
        <v>220</v>
      </c>
    </row>
    <row r="18" spans="2:14" x14ac:dyDescent="0.3">
      <c r="B18" s="630"/>
      <c r="C18" s="447"/>
      <c r="D18" s="447"/>
      <c r="E18" s="447"/>
      <c r="F18" s="655" t="str">
        <f>"("&amp;N26&amp;")"</f>
        <v>(1380)</v>
      </c>
      <c r="G18" s="447"/>
      <c r="H18" s="447"/>
      <c r="I18" s="447"/>
      <c r="J18" s="447"/>
      <c r="K18" s="654"/>
      <c r="M18" s="802" t="s">
        <v>354</v>
      </c>
      <c r="N18" s="809">
        <v>372.5</v>
      </c>
    </row>
    <row r="19" spans="2:14" x14ac:dyDescent="0.3">
      <c r="B19" s="630"/>
      <c r="C19" s="447"/>
      <c r="D19" s="447"/>
      <c r="E19" s="822">
        <v>40</v>
      </c>
      <c r="F19" s="447"/>
      <c r="G19" s="447"/>
      <c r="H19" s="447"/>
      <c r="I19" s="447"/>
      <c r="J19" s="447"/>
      <c r="K19" s="656"/>
      <c r="M19" s="804" t="s">
        <v>20</v>
      </c>
      <c r="N19" s="834">
        <f>(3.1415926*N15/3000000*((N11/2)*(N11/2)+(N11/2)*(N13/2)+(N13/2)*(N13/2))*J62)-(3.1415926*N15/3000000*((N12/2)*(N12/2)+(N12/2)*(N14/2)+(N14/2)*(N14/2))*N16)</f>
        <v>-1546.3507909588304</v>
      </c>
    </row>
    <row r="20" spans="2:14" x14ac:dyDescent="0.3">
      <c r="B20" s="630"/>
      <c r="C20" s="447"/>
      <c r="D20" s="447"/>
      <c r="E20" s="447"/>
      <c r="F20" s="447"/>
      <c r="G20" s="447"/>
      <c r="H20" s="447"/>
      <c r="I20" s="447"/>
      <c r="J20" s="657"/>
      <c r="K20" s="656"/>
      <c r="M20" s="804" t="s">
        <v>24</v>
      </c>
      <c r="N20" s="835">
        <f>((N18*N18-146.5*146.5)*3.1415926*N17*N16)/4000000</f>
        <v>186.45592098674641</v>
      </c>
    </row>
    <row r="21" spans="2:14" x14ac:dyDescent="0.3">
      <c r="B21" s="630"/>
      <c r="C21" s="447"/>
      <c r="D21" s="447"/>
      <c r="E21" s="447"/>
      <c r="F21" s="447"/>
      <c r="G21" s="447"/>
      <c r="H21" s="447"/>
      <c r="I21" s="447"/>
      <c r="J21" s="1502">
        <v>180</v>
      </c>
      <c r="K21" s="656"/>
      <c r="M21" s="804" t="s">
        <v>26</v>
      </c>
      <c r="N21" s="804">
        <v>28.5</v>
      </c>
    </row>
    <row r="22" spans="2:14" x14ac:dyDescent="0.3">
      <c r="B22" s="630"/>
      <c r="C22" s="447"/>
      <c r="D22" s="447"/>
      <c r="E22" s="447"/>
      <c r="F22" s="447"/>
      <c r="G22" s="447"/>
      <c r="H22" s="447"/>
      <c r="I22" s="447"/>
      <c r="J22" s="659"/>
      <c r="K22" s="656"/>
      <c r="M22" s="814"/>
      <c r="N22" s="836"/>
    </row>
    <row r="23" spans="2:14" x14ac:dyDescent="0.3">
      <c r="B23" s="1510" t="s">
        <v>1274</v>
      </c>
      <c r="C23" s="812">
        <v>310</v>
      </c>
      <c r="D23" s="447"/>
      <c r="E23" s="1161" t="str">
        <f>"Ø "&amp;ROUNDUP(N12*0.994,0)</f>
        <v>Ø 423</v>
      </c>
      <c r="F23" s="447"/>
      <c r="G23" s="447"/>
      <c r="H23" s="447"/>
      <c r="I23" s="447"/>
      <c r="J23" s="660" t="str">
        <f>"Ø "&amp;ROUND(N14*0.994,0)</f>
        <v>Ø 316</v>
      </c>
      <c r="K23" s="844" t="str">
        <f>"Ø "&amp;ROUND(N13*0.985,0)</f>
        <v>Ø 394</v>
      </c>
      <c r="M23" s="804" t="s">
        <v>30</v>
      </c>
      <c r="N23" s="802"/>
    </row>
    <row r="24" spans="2:14" x14ac:dyDescent="0.3">
      <c r="B24" s="630"/>
      <c r="C24" s="1509"/>
      <c r="D24" s="447"/>
      <c r="E24" s="845" t="s">
        <v>949</v>
      </c>
      <c r="F24" s="664"/>
      <c r="G24" s="447"/>
      <c r="H24" s="447"/>
      <c r="I24" s="447"/>
      <c r="J24" s="665" t="str">
        <f>"("&amp;N25&amp;")"</f>
        <v>(348)</v>
      </c>
      <c r="K24" s="846" t="str">
        <f>"("&amp;N24&amp;")"</f>
        <v>(379,5)</v>
      </c>
      <c r="M24" s="802" t="s">
        <v>3</v>
      </c>
      <c r="N24" s="837">
        <v>379.5</v>
      </c>
    </row>
    <row r="25" spans="2:14" x14ac:dyDescent="0.3">
      <c r="B25" s="630"/>
      <c r="C25" s="447"/>
      <c r="D25" s="447"/>
      <c r="E25" s="447"/>
      <c r="F25" s="447"/>
      <c r="G25" s="447"/>
      <c r="H25" s="447"/>
      <c r="I25" s="447"/>
      <c r="J25" s="658"/>
      <c r="K25" s="656"/>
      <c r="M25" s="802" t="s">
        <v>5</v>
      </c>
      <c r="N25" s="837">
        <v>348</v>
      </c>
    </row>
    <row r="26" spans="2:14" x14ac:dyDescent="0.3">
      <c r="B26" s="630"/>
      <c r="C26" s="447"/>
      <c r="D26" s="447"/>
      <c r="E26" s="447"/>
      <c r="F26" s="447"/>
      <c r="G26" s="447"/>
      <c r="H26" s="447"/>
      <c r="I26" s="447"/>
      <c r="J26" s="658"/>
      <c r="K26" s="656"/>
      <c r="M26" s="802" t="s">
        <v>8</v>
      </c>
      <c r="N26" s="837">
        <v>1380</v>
      </c>
    </row>
    <row r="27" spans="2:14" x14ac:dyDescent="0.3">
      <c r="B27" s="630"/>
      <c r="C27" s="447"/>
      <c r="D27" s="666"/>
      <c r="E27" s="447"/>
      <c r="F27" s="667"/>
      <c r="G27" s="663"/>
      <c r="H27" s="447"/>
      <c r="I27" s="447"/>
      <c r="J27" s="658"/>
      <c r="K27" s="656"/>
      <c r="M27" s="804" t="s">
        <v>19</v>
      </c>
      <c r="N27" s="804">
        <f>ROUNDUP(((N24*N24-N25*N25)*3.1415926*N26*N16)/4000000,0)</f>
        <v>229</v>
      </c>
    </row>
    <row r="28" spans="2:14" x14ac:dyDescent="0.3">
      <c r="B28" s="630"/>
      <c r="C28" s="447"/>
      <c r="D28" s="666"/>
      <c r="E28" s="447" t="str">
        <f>IF(Данные!U33=TRUE,"ХХХХХХХХХХХХХХХХХХХХХХХХХХХХХХХХХХХХХХ","")</f>
        <v/>
      </c>
      <c r="F28" s="667"/>
      <c r="G28" s="663"/>
      <c r="H28" s="447"/>
      <c r="I28" s="447"/>
      <c r="J28" s="658"/>
      <c r="K28" s="656"/>
      <c r="M28" s="815" t="s">
        <v>270</v>
      </c>
      <c r="N28" s="838">
        <v>256</v>
      </c>
    </row>
    <row r="29" spans="2:14" x14ac:dyDescent="0.3">
      <c r="B29" s="630"/>
      <c r="C29" s="447"/>
      <c r="D29" s="447"/>
      <c r="E29" s="447"/>
      <c r="F29" s="1502" t="str">
        <f>"Ø "&amp;ROUNDUP(N11*0.985,0)</f>
        <v>Ø 537</v>
      </c>
      <c r="G29" s="664"/>
      <c r="H29" s="668"/>
      <c r="I29" s="447"/>
      <c r="J29" s="658"/>
      <c r="K29" s="656"/>
      <c r="M29" s="817"/>
      <c r="N29" s="645"/>
    </row>
    <row r="30" spans="2:14" x14ac:dyDescent="0.3">
      <c r="B30" s="630"/>
      <c r="C30" s="447"/>
      <c r="D30" s="824" t="s">
        <v>355</v>
      </c>
      <c r="E30" s="825">
        <v>10</v>
      </c>
      <c r="F30" s="659" t="s">
        <v>948</v>
      </c>
      <c r="G30" s="447"/>
      <c r="H30" s="1502"/>
      <c r="I30" s="447"/>
      <c r="J30" s="658"/>
      <c r="K30" s="656"/>
      <c r="M30" s="840"/>
      <c r="N30" s="841"/>
    </row>
    <row r="31" spans="2:14" ht="16.2" thickBot="1" x14ac:dyDescent="0.35">
      <c r="B31" s="648"/>
      <c r="C31" s="649"/>
      <c r="D31" s="649"/>
      <c r="E31" s="649"/>
      <c r="F31" s="649"/>
      <c r="G31" s="649"/>
      <c r="H31" s="826" t="str">
        <f>IF(Данные!U34=TRUE,"Протянуть модель до  размера","")</f>
        <v/>
      </c>
      <c r="I31" s="649"/>
      <c r="J31" s="827"/>
      <c r="K31" s="828"/>
      <c r="M31" s="843"/>
      <c r="N31" s="841"/>
    </row>
    <row r="32" spans="2:14" x14ac:dyDescent="0.3">
      <c r="B32" s="637"/>
      <c r="C32" s="631" t="s">
        <v>47</v>
      </c>
      <c r="D32" s="631"/>
      <c r="E32" s="631"/>
      <c r="F32" s="819"/>
      <c r="G32" s="631"/>
      <c r="H32" s="631" t="s">
        <v>48</v>
      </c>
      <c r="I32" s="631"/>
      <c r="J32" s="849"/>
      <c r="K32" s="850"/>
    </row>
    <row r="33" spans="2:14" x14ac:dyDescent="0.3">
      <c r="B33" s="630"/>
      <c r="C33" s="447" t="s">
        <v>49</v>
      </c>
      <c r="D33" s="447"/>
      <c r="E33" s="447"/>
      <c r="F33" s="447" t="str">
        <f>VLOOKUP(G8,Данные!A3:I27,6,FALSE())</f>
        <v>25010.00173</v>
      </c>
      <c r="G33" s="447"/>
      <c r="H33" s="447" t="s">
        <v>1286</v>
      </c>
      <c r="I33" s="447"/>
      <c r="J33" s="447">
        <f>E59</f>
        <v>428</v>
      </c>
      <c r="K33" s="656"/>
      <c r="M33" s="928"/>
      <c r="N33" s="928"/>
    </row>
    <row r="34" spans="2:14" x14ac:dyDescent="0.3">
      <c r="B34" s="630"/>
      <c r="C34" s="447" t="s">
        <v>51</v>
      </c>
      <c r="D34" s="447"/>
      <c r="E34" s="447"/>
      <c r="F34" s="852" t="str">
        <f>IF(Втулка!V10&gt;1900,Данные!G4,Данные!G3)</f>
        <v>25011.00007</v>
      </c>
      <c r="G34" s="447"/>
      <c r="H34" s="447" t="s">
        <v>52</v>
      </c>
      <c r="I34" s="447" t="s">
        <v>53</v>
      </c>
      <c r="J34" s="657"/>
      <c r="K34" s="656"/>
      <c r="M34" s="928"/>
      <c r="N34" s="928"/>
    </row>
    <row r="35" spans="2:14" x14ac:dyDescent="0.3">
      <c r="B35" s="630"/>
      <c r="C35" s="447" t="s">
        <v>926</v>
      </c>
      <c r="D35" s="447"/>
      <c r="E35" s="447"/>
      <c r="F35" s="823" t="s">
        <v>1266</v>
      </c>
      <c r="G35" s="447"/>
      <c r="H35" s="447" t="s">
        <v>54</v>
      </c>
      <c r="I35" s="447" t="s">
        <v>55</v>
      </c>
      <c r="J35" s="658"/>
      <c r="K35" s="654"/>
      <c r="M35" s="847"/>
      <c r="N35" s="847"/>
    </row>
    <row r="36" spans="2:14" x14ac:dyDescent="0.3">
      <c r="B36" s="630"/>
      <c r="C36" s="447" t="s">
        <v>56</v>
      </c>
      <c r="D36" s="447"/>
      <c r="E36" s="447"/>
      <c r="F36" s="1502" t="s">
        <v>57</v>
      </c>
      <c r="G36" s="447"/>
      <c r="H36" s="447" t="s">
        <v>58</v>
      </c>
      <c r="I36" s="447"/>
      <c r="J36" s="659"/>
      <c r="K36" s="654"/>
      <c r="M36" s="645"/>
      <c r="N36" s="645"/>
    </row>
    <row r="37" spans="2:14" x14ac:dyDescent="0.3">
      <c r="B37" s="630"/>
      <c r="C37" s="447" t="s">
        <v>59</v>
      </c>
      <c r="D37" s="447"/>
      <c r="E37" s="447"/>
      <c r="F37" s="669">
        <v>1.4999999999999999E-2</v>
      </c>
      <c r="G37" s="447"/>
      <c r="H37" s="447" t="s">
        <v>60</v>
      </c>
      <c r="I37" s="447"/>
      <c r="J37" s="653"/>
      <c r="K37" s="654"/>
      <c r="M37" s="645"/>
      <c r="N37" s="645"/>
    </row>
    <row r="38" spans="2:14" x14ac:dyDescent="0.3">
      <c r="B38" s="630"/>
      <c r="C38" s="447" t="s">
        <v>54</v>
      </c>
      <c r="D38" s="447"/>
      <c r="E38" s="447"/>
      <c r="F38" s="1502" t="s">
        <v>55</v>
      </c>
      <c r="G38" s="636"/>
      <c r="H38" s="447" t="s">
        <v>61</v>
      </c>
      <c r="I38" s="447"/>
      <c r="J38" s="447"/>
      <c r="K38" s="634"/>
      <c r="M38" s="645"/>
      <c r="N38" s="645"/>
    </row>
    <row r="39" spans="2:14" x14ac:dyDescent="0.3">
      <c r="B39" s="630"/>
      <c r="C39" s="447" t="s">
        <v>797</v>
      </c>
      <c r="D39" s="447"/>
      <c r="E39" s="447"/>
      <c r="F39" s="447" t="s">
        <v>799</v>
      </c>
      <c r="G39" s="1502"/>
      <c r="H39" s="447" t="s">
        <v>63</v>
      </c>
      <c r="I39" s="447"/>
      <c r="J39" s="447"/>
      <c r="K39" s="634"/>
      <c r="M39" s="645"/>
      <c r="N39" s="645"/>
    </row>
    <row r="40" spans="2:14" x14ac:dyDescent="0.3">
      <c r="B40" s="630"/>
      <c r="C40" s="447"/>
      <c r="D40" s="447"/>
      <c r="E40" s="447"/>
      <c r="F40" s="1502" t="s">
        <v>798</v>
      </c>
      <c r="G40" s="639"/>
      <c r="H40" s="447" t="s">
        <v>64</v>
      </c>
      <c r="I40" s="447"/>
      <c r="J40" s="447"/>
      <c r="K40" s="634"/>
      <c r="M40" s="645"/>
      <c r="N40" s="645"/>
    </row>
    <row r="41" spans="2:14" x14ac:dyDescent="0.3">
      <c r="B41" s="630"/>
      <c r="C41" s="447" t="s">
        <v>1232</v>
      </c>
      <c r="D41" s="447">
        <v>1000</v>
      </c>
      <c r="E41" s="652" t="str">
        <f>" Х    "&amp;700</f>
        <v xml:space="preserve"> Х    700</v>
      </c>
      <c r="F41" s="689" t="str">
        <f>" Х "&amp;350&amp;"  /  1 шт."</f>
        <v xml:space="preserve"> Х 350  /  1 шт.</v>
      </c>
      <c r="H41" s="447"/>
      <c r="I41" s="447"/>
      <c r="J41" s="447"/>
      <c r="K41" s="634"/>
      <c r="M41" s="1501"/>
      <c r="N41" s="645"/>
    </row>
    <row r="42" spans="2:14" x14ac:dyDescent="0.3">
      <c r="B42" s="630"/>
      <c r="C42" s="1539" t="s">
        <v>1233</v>
      </c>
      <c r="D42" s="1539">
        <v>350</v>
      </c>
      <c r="E42" s="447" t="str">
        <f>" мм. "&amp;" / "&amp;Данные!P246&amp;" шт."</f>
        <v xml:space="preserve"> мм.  /  шт.</v>
      </c>
      <c r="F42" s="647"/>
      <c r="G42" s="639" t="str">
        <f>IF(Данные!P247&gt;0," / "&amp;Данные!O247&amp;" мм. / "&amp;Данные!P247&amp;" шт.","")</f>
        <v/>
      </c>
      <c r="H42" s="626"/>
      <c r="I42" s="447"/>
      <c r="J42" s="447"/>
      <c r="K42" s="634"/>
      <c r="M42" s="1500"/>
      <c r="N42" s="645"/>
    </row>
    <row r="43" spans="2:14" ht="16.2" thickBot="1" x14ac:dyDescent="0.35">
      <c r="B43" s="648"/>
      <c r="C43" s="649"/>
      <c r="D43" s="649" t="s">
        <v>65</v>
      </c>
      <c r="E43" s="649"/>
      <c r="F43" s="676"/>
      <c r="G43" s="676" t="s">
        <v>66</v>
      </c>
      <c r="H43" s="649"/>
      <c r="I43" s="649"/>
      <c r="J43" s="649"/>
      <c r="K43" s="677"/>
      <c r="M43" s="645"/>
      <c r="N43" s="810"/>
    </row>
    <row r="44" spans="2:14" ht="16.2" thickBot="1" x14ac:dyDescent="0.35">
      <c r="B44" s="1556" t="s">
        <v>67</v>
      </c>
      <c r="C44" s="1557"/>
      <c r="D44" s="1558"/>
      <c r="E44" s="646" t="s">
        <v>68</v>
      </c>
      <c r="F44" s="1542" t="s">
        <v>67</v>
      </c>
      <c r="G44" s="1556" t="s">
        <v>69</v>
      </c>
      <c r="H44" s="1558"/>
      <c r="I44" s="1556" t="s">
        <v>1278</v>
      </c>
      <c r="J44" s="1557"/>
      <c r="K44" s="1558"/>
      <c r="M44" s="645"/>
      <c r="N44" s="645"/>
    </row>
    <row r="45" spans="2:14" ht="16.2" thickBot="1" x14ac:dyDescent="0.35">
      <c r="B45" s="1559">
        <f ca="1">TODAY()</f>
        <v>45428</v>
      </c>
      <c r="C45" s="1560"/>
      <c r="D45" s="1561"/>
      <c r="E45" s="1536" t="s">
        <v>264</v>
      </c>
      <c r="F45" s="1536"/>
      <c r="G45" s="1556" t="s">
        <v>265</v>
      </c>
      <c r="H45" s="1558"/>
      <c r="I45" s="1556"/>
      <c r="J45" s="1557"/>
      <c r="K45" s="1558"/>
      <c r="M45" s="645"/>
      <c r="N45" s="645"/>
    </row>
    <row r="46" spans="2:14" ht="16.2" thickBot="1" x14ac:dyDescent="0.35">
      <c r="B46" s="1556" t="s">
        <v>70</v>
      </c>
      <c r="C46" s="1557"/>
      <c r="D46" s="1558"/>
      <c r="E46" s="1536"/>
      <c r="F46" s="1512"/>
      <c r="G46" s="1556"/>
      <c r="H46" s="1558"/>
      <c r="I46" s="1556"/>
      <c r="J46" s="1557"/>
      <c r="K46" s="1558"/>
      <c r="M46" s="645"/>
      <c r="N46" s="645"/>
    </row>
    <row r="47" spans="2:14" ht="16.2" thickBot="1" x14ac:dyDescent="0.35">
      <c r="B47" s="1542"/>
      <c r="C47" s="652"/>
      <c r="D47" s="652"/>
      <c r="E47" s="652"/>
      <c r="F47" s="652"/>
      <c r="G47" s="652"/>
      <c r="H47" s="652"/>
      <c r="I47" s="652"/>
      <c r="J47" s="652"/>
      <c r="K47" s="646"/>
    </row>
    <row r="48" spans="2:14" x14ac:dyDescent="0.3">
      <c r="B48" s="1545" t="s">
        <v>6</v>
      </c>
      <c r="C48" s="1546"/>
      <c r="D48" s="1546"/>
      <c r="E48" s="1547"/>
      <c r="F48" s="681" t="s">
        <v>295</v>
      </c>
      <c r="G48" s="682" t="s">
        <v>296</v>
      </c>
      <c r="H48" s="681" t="s">
        <v>296</v>
      </c>
      <c r="I48" s="681" t="s">
        <v>297</v>
      </c>
      <c r="J48" s="1545" t="s">
        <v>298</v>
      </c>
      <c r="K48" s="1547"/>
      <c r="M48" s="447"/>
      <c r="N48" s="447"/>
    </row>
    <row r="49" spans="2:14" ht="16.2" thickBot="1" x14ac:dyDescent="0.35">
      <c r="B49" s="1548" t="s">
        <v>299</v>
      </c>
      <c r="C49" s="1549"/>
      <c r="D49" s="1549"/>
      <c r="E49" s="1550"/>
      <c r="F49" s="686" t="s">
        <v>300</v>
      </c>
      <c r="G49" s="686" t="s">
        <v>301</v>
      </c>
      <c r="H49" s="686" t="s">
        <v>302</v>
      </c>
      <c r="I49" s="1543"/>
      <c r="J49" s="1548" t="s">
        <v>303</v>
      </c>
      <c r="K49" s="1550"/>
      <c r="M49" s="447"/>
      <c r="N49" s="447"/>
    </row>
    <row r="50" spans="2:14" ht="16.2" thickBot="1" x14ac:dyDescent="0.35">
      <c r="B50" s="1553" t="s">
        <v>400</v>
      </c>
      <c r="C50" s="1555"/>
      <c r="D50" s="1555"/>
      <c r="E50" s="1554"/>
      <c r="F50" s="688">
        <v>40</v>
      </c>
      <c r="G50" s="689">
        <v>1</v>
      </c>
      <c r="H50" s="688">
        <v>20</v>
      </c>
      <c r="I50" s="686">
        <v>3</v>
      </c>
      <c r="J50" s="1553">
        <f>ROUND(D41*700*(N15+N17)/1000000*2.045*2.3/1000,3)</f>
        <v>5.7949999999999999</v>
      </c>
      <c r="K50" s="1554"/>
      <c r="M50" s="1544"/>
      <c r="N50" s="447"/>
    </row>
    <row r="51" spans="2:14" ht="16.2" thickBot="1" x14ac:dyDescent="0.35">
      <c r="B51" s="1553" t="s">
        <v>48</v>
      </c>
      <c r="C51" s="1555"/>
      <c r="D51" s="1555"/>
      <c r="E51" s="1554"/>
      <c r="F51" s="690">
        <v>40</v>
      </c>
      <c r="G51" s="1535">
        <v>1</v>
      </c>
      <c r="H51" s="690">
        <v>20</v>
      </c>
      <c r="I51" s="686">
        <v>4</v>
      </c>
      <c r="J51" s="1553">
        <f>ROUND(J33/1000*3.5,3)</f>
        <v>1.498</v>
      </c>
      <c r="K51" s="1554"/>
      <c r="M51" s="1544"/>
      <c r="N51" s="447"/>
    </row>
    <row r="52" spans="2:14" x14ac:dyDescent="0.3">
      <c r="M52" s="447"/>
      <c r="N52" s="447"/>
    </row>
    <row r="53" spans="2:14" x14ac:dyDescent="0.3">
      <c r="M53" s="447"/>
      <c r="N53" s="447"/>
    </row>
    <row r="54" spans="2:14" x14ac:dyDescent="0.3">
      <c r="D54" s="645"/>
      <c r="E54" s="645"/>
      <c r="F54" s="645"/>
      <c r="G54" s="645"/>
      <c r="H54" s="645"/>
      <c r="I54" s="645"/>
      <c r="J54" s="645"/>
      <c r="K54" s="645"/>
    </row>
    <row r="55" spans="2:14" x14ac:dyDescent="0.3">
      <c r="D55" s="645"/>
      <c r="E55" s="179"/>
      <c r="F55" s="60"/>
      <c r="G55" s="60"/>
      <c r="H55" s="179"/>
      <c r="I55" s="179"/>
      <c r="J55" s="60"/>
      <c r="K55" s="645"/>
    </row>
    <row r="56" spans="2:14" x14ac:dyDescent="0.3">
      <c r="B56" t="s">
        <v>1283</v>
      </c>
      <c r="C56" t="s">
        <v>1284</v>
      </c>
      <c r="D56" t="s">
        <v>1285</v>
      </c>
      <c r="E56"/>
      <c r="F56" s="179"/>
      <c r="G56" s="179"/>
      <c r="H56" s="179"/>
      <c r="I56" s="179"/>
      <c r="J56" s="60"/>
      <c r="K56" s="645"/>
    </row>
    <row r="57" spans="2:14" x14ac:dyDescent="0.3">
      <c r="B57">
        <f>N14-J21/10/2</f>
        <v>309</v>
      </c>
      <c r="C57">
        <f>(N14+N12)/2</f>
        <v>371.5</v>
      </c>
      <c r="D57">
        <f>(N12+C23)/2</f>
        <v>367.5</v>
      </c>
      <c r="E57"/>
      <c r="F57" s="179"/>
      <c r="G57" s="179"/>
      <c r="H57" s="179"/>
      <c r="I57" s="179"/>
      <c r="J57" s="764"/>
      <c r="K57" s="645"/>
    </row>
    <row r="58" spans="2:14" x14ac:dyDescent="0.3">
      <c r="B58">
        <f>J21</f>
        <v>180</v>
      </c>
      <c r="C58">
        <f>N15</f>
        <v>1540</v>
      </c>
      <c r="D58">
        <f>N17+50</f>
        <v>270</v>
      </c>
      <c r="E58"/>
      <c r="F58" s="179"/>
      <c r="G58" s="179"/>
      <c r="H58" s="179"/>
      <c r="I58" s="179"/>
      <c r="J58" s="764"/>
      <c r="K58" s="645"/>
    </row>
    <row r="59" spans="2:14" x14ac:dyDescent="0.3">
      <c r="B59">
        <f>B57*B57*3.1415926*B58/4000000</f>
        <v>13.498308136826999</v>
      </c>
      <c r="C59" s="1537">
        <f>C57*C57*3.1415926*C58/4000000</f>
        <v>166.92763137409978</v>
      </c>
      <c r="D59" s="1537">
        <f>D57*D57*3.1415926*D58/4000000</f>
        <v>28.639690801903125</v>
      </c>
      <c r="E59">
        <f>ROUNDUP(SUM(B59:D59)*2.045,0)</f>
        <v>428</v>
      </c>
      <c r="F59" s="179"/>
      <c r="G59" s="179"/>
      <c r="H59" s="179"/>
      <c r="I59" s="179"/>
      <c r="J59" s="764"/>
      <c r="K59" s="645"/>
    </row>
    <row r="60" spans="2:14" x14ac:dyDescent="0.3">
      <c r="D60" s="645"/>
      <c r="E60" s="179"/>
      <c r="F60" s="179"/>
      <c r="G60" s="179"/>
      <c r="H60" s="179"/>
      <c r="I60" s="179"/>
      <c r="J60" s="764"/>
      <c r="K60" s="645"/>
    </row>
    <row r="61" spans="2:14" x14ac:dyDescent="0.3">
      <c r="D61" s="645"/>
      <c r="E61" s="179"/>
      <c r="F61" s="179"/>
      <c r="G61" s="179"/>
      <c r="H61" s="179"/>
      <c r="I61" s="179"/>
      <c r="J61" s="764"/>
      <c r="K61" s="645"/>
    </row>
    <row r="62" spans="2:14" x14ac:dyDescent="0.3">
      <c r="D62" s="645"/>
      <c r="E62" s="179"/>
      <c r="F62" s="179"/>
      <c r="G62" s="179"/>
      <c r="H62" s="179"/>
      <c r="I62" s="1162"/>
      <c r="J62" s="764"/>
      <c r="K62" s="645"/>
    </row>
    <row r="63" spans="2:14" x14ac:dyDescent="0.3">
      <c r="D63" s="645"/>
      <c r="E63" s="179"/>
      <c r="F63" s="179"/>
      <c r="G63" s="179"/>
      <c r="H63" s="179"/>
      <c r="I63" s="179"/>
      <c r="J63" s="1163"/>
      <c r="K63" s="645"/>
    </row>
    <row r="64" spans="2:14" x14ac:dyDescent="0.3">
      <c r="D64" s="645"/>
      <c r="E64" s="179"/>
      <c r="F64" s="179"/>
      <c r="G64" s="179"/>
      <c r="H64" s="179"/>
      <c r="I64" s="179"/>
      <c r="J64" s="60"/>
      <c r="K64" s="645"/>
    </row>
    <row r="65" spans="4:11" x14ac:dyDescent="0.3">
      <c r="D65" s="645"/>
      <c r="E65" s="179"/>
      <c r="F65" s="179"/>
      <c r="G65" s="179"/>
      <c r="H65" s="179"/>
      <c r="I65" s="179"/>
      <c r="J65" s="60"/>
      <c r="K65" s="645"/>
    </row>
    <row r="66" spans="4:11" x14ac:dyDescent="0.3">
      <c r="D66" s="645"/>
      <c r="E66" s="645"/>
      <c r="F66" s="645"/>
      <c r="G66" s="645"/>
      <c r="H66" s="645"/>
      <c r="I66" s="645"/>
      <c r="J66" s="645"/>
      <c r="K66" s="645"/>
    </row>
    <row r="67" spans="4:11" x14ac:dyDescent="0.3">
      <c r="D67" s="645"/>
      <c r="E67" s="645"/>
      <c r="F67" s="645"/>
      <c r="G67" s="645"/>
      <c r="H67" s="645"/>
      <c r="I67" s="645"/>
      <c r="J67" s="645"/>
      <c r="K67" s="645"/>
    </row>
    <row r="68" spans="4:11" x14ac:dyDescent="0.3">
      <c r="D68" s="645"/>
      <c r="E68" s="645"/>
      <c r="F68" s="645"/>
      <c r="G68" s="645"/>
      <c r="H68" s="645"/>
      <c r="I68" s="645"/>
      <c r="J68" s="645"/>
      <c r="K68" s="645"/>
    </row>
    <row r="69" spans="4:11" x14ac:dyDescent="0.3">
      <c r="D69" s="645"/>
      <c r="E69" s="645"/>
      <c r="F69" s="645"/>
      <c r="G69" s="645"/>
      <c r="H69" s="645"/>
      <c r="I69" s="645"/>
      <c r="J69" s="645"/>
      <c r="K69" s="645"/>
    </row>
  </sheetData>
  <mergeCells count="17">
    <mergeCell ref="J50:K50"/>
    <mergeCell ref="B50:E50"/>
    <mergeCell ref="B51:E51"/>
    <mergeCell ref="I44:K44"/>
    <mergeCell ref="I45:K45"/>
    <mergeCell ref="I46:K46"/>
    <mergeCell ref="B48:E48"/>
    <mergeCell ref="B49:E49"/>
    <mergeCell ref="J48:K48"/>
    <mergeCell ref="J49:K49"/>
    <mergeCell ref="B44:D44"/>
    <mergeCell ref="B45:D45"/>
    <mergeCell ref="B46:D46"/>
    <mergeCell ref="G44:H44"/>
    <mergeCell ref="G45:H45"/>
    <mergeCell ref="G46:H46"/>
    <mergeCell ref="J51:K5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160DBB63-AEE7-4A05-887A-45906C0275FA}">
          <x14:formula1>
            <xm:f>Данные!$J$90:$J$96</xm:f>
          </x14:formula1>
          <xm:sqref>N29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4"/>
  <sheetViews>
    <sheetView topLeftCell="A4" zoomScale="70" zoomScaleNormal="70" workbookViewId="0">
      <selection activeCell="M49" sqref="M48:M49"/>
    </sheetView>
  </sheetViews>
  <sheetFormatPr defaultRowHeight="14.4" x14ac:dyDescent="0.3"/>
  <cols>
    <col min="1" max="1" width="3.5546875" customWidth="1"/>
    <col min="2" max="2" width="10.5546875" customWidth="1"/>
    <col min="3" max="3" width="9.109375" customWidth="1"/>
    <col min="4" max="4" width="9.44140625" customWidth="1"/>
    <col min="5" max="5" width="13.33203125" customWidth="1"/>
    <col min="6" max="6" width="15.88671875" customWidth="1"/>
    <col min="7" max="7" width="11.88671875" customWidth="1"/>
    <col min="8" max="8" width="13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9.88671875" customWidth="1"/>
    <col min="16" max="16" width="20.6640625" customWidth="1"/>
    <col min="17" max="17" width="14" customWidth="1"/>
    <col min="18" max="18" width="20.88671875" customWidth="1"/>
    <col min="19" max="19" width="12.5546875" customWidth="1"/>
    <col min="20" max="20" width="14.44140625" customWidth="1"/>
    <col min="21" max="21" width="14.5546875" customWidth="1"/>
    <col min="22" max="22" width="14.33203125" customWidth="1"/>
    <col min="23" max="23" width="13.33203125" customWidth="1"/>
    <col min="24" max="24" width="16.33203125" customWidth="1"/>
  </cols>
  <sheetData>
    <row r="1" spans="2:23" ht="15" thickBot="1" x14ac:dyDescent="0.35">
      <c r="J1" t="s">
        <v>1168</v>
      </c>
    </row>
    <row r="2" spans="2:23" ht="16.2" thickBot="1" x14ac:dyDescent="0.35">
      <c r="B2" s="627"/>
      <c r="C2" s="628"/>
      <c r="D2" s="628"/>
      <c r="E2" s="628" t="s">
        <v>0</v>
      </c>
      <c r="F2" s="628"/>
      <c r="G2" s="628"/>
      <c r="H2" s="628"/>
      <c r="I2" s="628"/>
      <c r="J2" s="629" t="s">
        <v>1097</v>
      </c>
      <c r="L2" s="145" t="s">
        <v>1</v>
      </c>
      <c r="M2" s="1480"/>
      <c r="N2" s="1482" t="s">
        <v>1077</v>
      </c>
      <c r="P2" s="56" t="s">
        <v>213</v>
      </c>
      <c r="Q2" s="241"/>
      <c r="R2" s="56"/>
      <c r="S2" s="56"/>
      <c r="T2" s="56"/>
      <c r="U2" s="56"/>
      <c r="V2" s="56"/>
    </row>
    <row r="3" spans="2:23" ht="16.2" thickBot="1" x14ac:dyDescent="0.35">
      <c r="B3" s="630"/>
      <c r="C3" s="631" t="s">
        <v>2</v>
      </c>
      <c r="D3" s="631"/>
      <c r="E3" s="631"/>
      <c r="F3" s="1156" t="s">
        <v>1252</v>
      </c>
      <c r="G3" s="631"/>
      <c r="H3" s="632"/>
      <c r="I3" s="1157" t="s">
        <v>428</v>
      </c>
      <c r="J3" s="633"/>
      <c r="L3" s="146" t="s">
        <v>257</v>
      </c>
      <c r="M3" s="1481">
        <f>IF(N3=0,ROUNDUP((M17+M25*2)/0.985,0),N3)</f>
        <v>628</v>
      </c>
      <c r="N3" s="58"/>
      <c r="P3" s="1222" t="s">
        <v>214</v>
      </c>
      <c r="Q3" s="1223"/>
      <c r="R3" s="259" t="s">
        <v>149</v>
      </c>
      <c r="S3" s="259"/>
      <c r="T3" s="259" t="s">
        <v>215</v>
      </c>
      <c r="U3" s="259"/>
      <c r="V3" s="290" t="s">
        <v>202</v>
      </c>
    </row>
    <row r="4" spans="2:23" ht="15.6" x14ac:dyDescent="0.3">
      <c r="B4" s="630"/>
      <c r="C4" s="447" t="s">
        <v>4</v>
      </c>
      <c r="D4" s="447"/>
      <c r="E4" s="447"/>
      <c r="F4" s="1155" t="s">
        <v>1253</v>
      </c>
      <c r="G4" s="447"/>
      <c r="H4" s="447"/>
      <c r="I4" s="1155"/>
      <c r="J4" s="634"/>
      <c r="L4" s="146" t="s">
        <v>258</v>
      </c>
      <c r="M4" s="1481">
        <f>IF(N4=0,ROUNDUP((M18+M25*2)/0.985,0),N4)</f>
        <v>597</v>
      </c>
      <c r="N4" s="58"/>
      <c r="P4" s="1224" t="s">
        <v>216</v>
      </c>
      <c r="Q4" s="1225"/>
      <c r="R4" s="1220" t="s">
        <v>178</v>
      </c>
      <c r="S4" s="293"/>
      <c r="T4" s="293" t="s">
        <v>150</v>
      </c>
      <c r="U4" s="293"/>
      <c r="V4" s="294"/>
    </row>
    <row r="5" spans="2:23" ht="15.6" x14ac:dyDescent="0.3">
      <c r="B5" s="630"/>
      <c r="C5" s="447" t="s">
        <v>6</v>
      </c>
      <c r="D5" s="447"/>
      <c r="E5" s="447"/>
      <c r="F5" s="668" t="s">
        <v>7</v>
      </c>
      <c r="G5" s="447"/>
      <c r="H5" s="447"/>
      <c r="I5" s="447" t="s">
        <v>1139</v>
      </c>
      <c r="J5" s="634"/>
      <c r="L5" s="146" t="s">
        <v>259</v>
      </c>
      <c r="M5" s="1481">
        <f>IF(N5=0,ROUNDDOWN((M19-M27*2)*0.994,0),N5)</f>
        <v>506</v>
      </c>
      <c r="N5" s="58"/>
      <c r="P5" s="295">
        <v>28</v>
      </c>
      <c r="Q5" s="294">
        <f>P5</f>
        <v>28</v>
      </c>
      <c r="R5" s="1221">
        <v>12</v>
      </c>
      <c r="S5" s="293"/>
      <c r="T5" s="296">
        <v>20</v>
      </c>
      <c r="U5" s="293"/>
      <c r="V5" s="294"/>
    </row>
    <row r="6" spans="2:23" ht="16.2" thickBot="1" x14ac:dyDescent="0.35">
      <c r="B6" s="630"/>
      <c r="C6" s="447" t="s">
        <v>10</v>
      </c>
      <c r="D6" s="447"/>
      <c r="E6" s="447"/>
      <c r="F6" s="978" t="s">
        <v>11</v>
      </c>
      <c r="G6" s="447"/>
      <c r="H6" s="447"/>
      <c r="I6" s="1115" t="str">
        <f>"Ø "&amp;ROUNDUP(M5/0.994,0)&amp;"  H = "&amp;_xlfn.CEILING.MATH(H25+E21/0.985+C21/0.985,5)</f>
        <v>Ø 510  H = 1385</v>
      </c>
      <c r="J6" s="634"/>
      <c r="L6" s="146" t="s">
        <v>260</v>
      </c>
      <c r="M6" s="1481">
        <f>IF(N6=0,ROUNDUP((M20+M25+M26)/0.985,0),ROUNDUP(N6*0.985,0))</f>
        <v>296</v>
      </c>
      <c r="N6" s="58">
        <v>300</v>
      </c>
      <c r="P6" s="302"/>
      <c r="Q6" s="305"/>
      <c r="R6" s="1220" t="s">
        <v>179</v>
      </c>
      <c r="S6" s="293"/>
      <c r="T6" s="293" t="s">
        <v>151</v>
      </c>
      <c r="U6" s="293"/>
      <c r="V6" s="294"/>
    </row>
    <row r="7" spans="2:23" ht="15.6" x14ac:dyDescent="0.3">
      <c r="B7" s="637"/>
      <c r="C7" s="631"/>
      <c r="D7" s="631"/>
      <c r="E7" s="631"/>
      <c r="F7" s="631"/>
      <c r="G7" s="631"/>
      <c r="H7" s="631"/>
      <c r="I7" s="631"/>
      <c r="J7" s="638"/>
      <c r="L7" s="146" t="s">
        <v>261</v>
      </c>
      <c r="M7" s="1491">
        <f>IF(N7=0,ROUNDUP((M21+M25+M26+M28)/0.985,0),ROUND(N7*0.985,0))</f>
        <v>1084</v>
      </c>
      <c r="N7" s="58">
        <v>1100</v>
      </c>
      <c r="P7" s="1224" t="s">
        <v>217</v>
      </c>
      <c r="Q7" s="1225"/>
      <c r="R7" s="1221">
        <v>15</v>
      </c>
      <c r="S7" s="293">
        <f>(R5+R7)/2</f>
        <v>13.5</v>
      </c>
      <c r="T7" s="296">
        <v>80</v>
      </c>
      <c r="U7" s="293"/>
      <c r="V7" s="294"/>
    </row>
    <row r="8" spans="2:23" ht="15.6" x14ac:dyDescent="0.3">
      <c r="B8" s="630"/>
      <c r="C8" s="447" t="s">
        <v>16</v>
      </c>
      <c r="D8" s="447"/>
      <c r="E8" s="447"/>
      <c r="F8" s="668" t="s">
        <v>25</v>
      </c>
      <c r="G8" s="447"/>
      <c r="H8" s="632"/>
      <c r="I8" s="447" t="s">
        <v>17</v>
      </c>
      <c r="J8" s="640">
        <f>F9/F14</f>
        <v>0.28985507246376813</v>
      </c>
      <c r="L8" s="147" t="s">
        <v>12</v>
      </c>
      <c r="M8" s="148">
        <f>VLOOKUP(F8,Марка_мет,9,FALSE())</f>
        <v>9.3000000000000007</v>
      </c>
      <c r="P8" s="295">
        <v>28</v>
      </c>
      <c r="Q8" s="294">
        <f>P8</f>
        <v>28</v>
      </c>
      <c r="R8" s="1220" t="s">
        <v>204</v>
      </c>
      <c r="S8" s="293"/>
      <c r="T8" s="293" t="s">
        <v>152</v>
      </c>
      <c r="U8" s="293"/>
      <c r="V8" s="294"/>
    </row>
    <row r="9" spans="2:23" ht="15.6" x14ac:dyDescent="0.3">
      <c r="B9" s="630"/>
      <c r="C9" s="447" t="s">
        <v>19</v>
      </c>
      <c r="D9" s="447"/>
      <c r="E9" s="447"/>
      <c r="F9" s="641">
        <f>IF(M23&lt;&gt;0,M23,IF(M22&lt;100,ROUNDUP(M22,1),ROUNDUP(M22,0)))</f>
        <v>340</v>
      </c>
      <c r="G9" s="642"/>
      <c r="H9" s="632"/>
      <c r="I9" s="447"/>
      <c r="J9" s="640"/>
      <c r="L9" s="149" t="s">
        <v>262</v>
      </c>
      <c r="M9" s="10">
        <f>ROUNDUP(((M3+D23*2)+((M3+D23*2)/10+(M3+D23*2)))/2,0)</f>
        <v>708</v>
      </c>
      <c r="P9" s="297"/>
      <c r="Q9" s="294"/>
      <c r="R9" s="1221">
        <v>22</v>
      </c>
      <c r="S9" s="293">
        <f>R9</f>
        <v>22</v>
      </c>
      <c r="T9" s="296">
        <f>Q11</f>
        <v>242</v>
      </c>
      <c r="U9" s="293"/>
      <c r="V9" s="294"/>
    </row>
    <row r="10" spans="2:23" ht="15.6" x14ac:dyDescent="0.3">
      <c r="B10" s="630"/>
      <c r="C10" s="447" t="s">
        <v>22</v>
      </c>
      <c r="D10" s="447"/>
      <c r="E10" s="447"/>
      <c r="F10" s="643">
        <f>M12</f>
        <v>815</v>
      </c>
      <c r="G10" s="644"/>
      <c r="H10" s="447"/>
      <c r="I10" s="447" t="s">
        <v>23</v>
      </c>
      <c r="J10" s="640">
        <f>F9/F16</f>
        <v>0.27868852459016391</v>
      </c>
      <c r="L10" s="149" t="s">
        <v>860</v>
      </c>
      <c r="M10" s="1218">
        <f>(M3-M5)/2</f>
        <v>61</v>
      </c>
      <c r="N10" s="1483"/>
      <c r="P10" s="298" t="s">
        <v>8</v>
      </c>
      <c r="Q10" s="294"/>
      <c r="R10" s="1226" t="s">
        <v>1076</v>
      </c>
      <c r="S10" s="293"/>
      <c r="T10" s="293" t="s">
        <v>174</v>
      </c>
      <c r="U10" s="293"/>
      <c r="V10" s="294"/>
    </row>
    <row r="11" spans="2:23" ht="15.6" x14ac:dyDescent="0.3">
      <c r="B11" s="630"/>
      <c r="C11" s="447" t="s">
        <v>24</v>
      </c>
      <c r="D11" s="447"/>
      <c r="E11" s="447"/>
      <c r="F11" s="641">
        <f>M13</f>
        <v>273</v>
      </c>
      <c r="G11" s="644"/>
      <c r="H11" s="447"/>
      <c r="I11" s="447"/>
      <c r="J11" s="640"/>
      <c r="L11" s="149" t="s">
        <v>14</v>
      </c>
      <c r="M11" s="1479">
        <f>MROUND(IF(M10&lt;=50,M10*2.7,M10*2.6),5)</f>
        <v>160</v>
      </c>
      <c r="N11" s="58"/>
      <c r="P11" s="299">
        <v>242</v>
      </c>
      <c r="Q11" s="294">
        <f>P11</f>
        <v>242</v>
      </c>
      <c r="R11" s="1221">
        <v>180</v>
      </c>
      <c r="S11" s="293">
        <f>2*3.1415926*R14/2</f>
        <v>408.407038</v>
      </c>
      <c r="T11" s="446">
        <f>Q13</f>
        <v>1</v>
      </c>
      <c r="U11" s="293">
        <f>T5*T7*T9*Q12*T11/1000000</f>
        <v>2.7878400000000001</v>
      </c>
      <c r="V11" s="294"/>
    </row>
    <row r="12" spans="2:23" ht="15.6" x14ac:dyDescent="0.3">
      <c r="B12" s="630"/>
      <c r="C12" s="645" t="s">
        <v>339</v>
      </c>
      <c r="D12" s="447"/>
      <c r="E12" s="447"/>
      <c r="F12" s="641">
        <f>ROUNDUP(M14,0)</f>
        <v>85</v>
      </c>
      <c r="G12" s="644"/>
      <c r="H12" s="447"/>
      <c r="I12" s="447"/>
      <c r="J12" s="640"/>
      <c r="L12" s="150" t="s">
        <v>20</v>
      </c>
      <c r="M12" s="151">
        <f>ROUNDUP(((M3*0.985*M3*0.985-M5*0.994*M5*0.994)*3.1415926*M6*M8+(M4*0.985*M4*0.985-M5*0.994*M5*0.994)*(M7-M6)*M8*3.1415926)/4000000,0)</f>
        <v>815</v>
      </c>
      <c r="P12" s="297"/>
      <c r="Q12" s="1229">
        <v>7.2</v>
      </c>
      <c r="R12" s="1226" t="s">
        <v>206</v>
      </c>
      <c r="S12" s="293">
        <v>150</v>
      </c>
      <c r="T12" s="293"/>
      <c r="U12" s="293"/>
      <c r="V12" s="294"/>
    </row>
    <row r="13" spans="2:23" ht="16.2" thickBot="1" x14ac:dyDescent="0.35">
      <c r="B13" s="630"/>
      <c r="C13" s="447" t="s">
        <v>27</v>
      </c>
      <c r="D13" s="447"/>
      <c r="E13" s="447"/>
      <c r="F13" s="641">
        <f>F10+F11+F12</f>
        <v>1173</v>
      </c>
      <c r="G13" s="644"/>
      <c r="H13" s="447"/>
      <c r="I13" s="447"/>
      <c r="J13" s="634"/>
      <c r="L13" s="152" t="s">
        <v>24</v>
      </c>
      <c r="M13" s="151">
        <f>ROUNDUP(((M9*0.985*M9*0.985-M5*0.994*M5*0.994)*3.1415926*M11*M8)/4000000,0)</f>
        <v>273</v>
      </c>
      <c r="P13" s="302"/>
      <c r="Q13" s="1230">
        <v>1</v>
      </c>
      <c r="R13" s="1226" t="s">
        <v>208</v>
      </c>
      <c r="S13" s="293">
        <f>IF(Q13=1,S12,S11)</f>
        <v>150</v>
      </c>
      <c r="T13" s="293"/>
      <c r="U13" s="293"/>
      <c r="V13" s="294"/>
    </row>
    <row r="14" spans="2:23" ht="16.2" thickBot="1" x14ac:dyDescent="0.35">
      <c r="B14" s="630"/>
      <c r="C14" s="447" t="s">
        <v>29</v>
      </c>
      <c r="D14" s="447"/>
      <c r="E14" s="447"/>
      <c r="F14" s="641">
        <f>ROUNDUP(F13/F17,0)</f>
        <v>1173</v>
      </c>
      <c r="G14" s="644"/>
      <c r="H14" s="447"/>
      <c r="I14" s="447"/>
      <c r="J14" s="634"/>
      <c r="L14" s="153" t="s">
        <v>26</v>
      </c>
      <c r="M14" s="154">
        <f>Данные!B258</f>
        <v>84.01</v>
      </c>
      <c r="P14" s="1227"/>
      <c r="Q14" s="1228">
        <f>Q5*Q5*3.1415926*Q11*Q12/4000000+(Q8*Q8*3.1415926*Q11*Q12*Q13/4000000)</f>
        <v>2.1457730909260806</v>
      </c>
      <c r="R14" s="304">
        <f>Q8+S9+T7</f>
        <v>130</v>
      </c>
      <c r="S14" s="303">
        <f>S7*S9*S13*Q12/1000000/360*180</f>
        <v>0.16037999999999999</v>
      </c>
      <c r="T14" s="303"/>
      <c r="U14" s="303"/>
      <c r="V14" s="305">
        <f>Q14+S14+U11</f>
        <v>5.0939930909260802</v>
      </c>
    </row>
    <row r="15" spans="2:23" ht="16.2" thickBot="1" x14ac:dyDescent="0.35">
      <c r="B15" s="630"/>
      <c r="C15" s="447" t="s">
        <v>32</v>
      </c>
      <c r="D15" s="447"/>
      <c r="E15" s="447"/>
      <c r="F15" s="641">
        <f>ROUND(F13*1.04,0)</f>
        <v>1220</v>
      </c>
      <c r="G15" s="644"/>
      <c r="H15" s="447"/>
      <c r="I15" s="447"/>
      <c r="J15" s="646"/>
      <c r="L15" s="43"/>
    </row>
    <row r="16" spans="2:23" ht="16.2" thickBot="1" x14ac:dyDescent="0.35">
      <c r="B16" s="630"/>
      <c r="C16" s="447" t="s">
        <v>34</v>
      </c>
      <c r="D16" s="447"/>
      <c r="E16" s="447"/>
      <c r="F16" s="641">
        <f>ROUNDUP(F15/F17,0)</f>
        <v>1220</v>
      </c>
      <c r="G16" s="644"/>
      <c r="H16" s="447"/>
      <c r="I16" s="447"/>
      <c r="J16" s="646"/>
      <c r="L16" s="1566" t="s">
        <v>30</v>
      </c>
      <c r="M16" s="1567"/>
      <c r="P16" s="56" t="s">
        <v>199</v>
      </c>
      <c r="Q16" s="255"/>
      <c r="R16" s="255"/>
      <c r="S16" s="255"/>
      <c r="T16" s="256"/>
      <c r="U16" s="56"/>
      <c r="V16" s="56"/>
      <c r="W16" s="56"/>
    </row>
    <row r="17" spans="2:24" ht="15.6" x14ac:dyDescent="0.3">
      <c r="B17" s="630"/>
      <c r="C17" s="447" t="s">
        <v>36</v>
      </c>
      <c r="D17" s="447"/>
      <c r="E17" s="447"/>
      <c r="F17" s="647">
        <f>F18*F19</f>
        <v>1</v>
      </c>
      <c r="G17" s="447"/>
      <c r="H17" s="447"/>
      <c r="I17" s="447"/>
      <c r="J17" s="646"/>
      <c r="L17" s="143" t="s">
        <v>257</v>
      </c>
      <c r="M17" s="10">
        <v>600</v>
      </c>
      <c r="P17" s="257" t="s">
        <v>200</v>
      </c>
      <c r="Q17" s="258"/>
      <c r="R17" s="259" t="s">
        <v>201</v>
      </c>
      <c r="S17" s="258"/>
      <c r="T17" s="259" t="s">
        <v>149</v>
      </c>
      <c r="U17" s="260"/>
      <c r="V17" s="258"/>
      <c r="W17" s="261" t="s">
        <v>202</v>
      </c>
    </row>
    <row r="18" spans="2:24" ht="15.6" x14ac:dyDescent="0.3">
      <c r="B18" s="630"/>
      <c r="C18" s="447" t="s">
        <v>38</v>
      </c>
      <c r="D18" s="447"/>
      <c r="E18" s="447"/>
      <c r="F18" s="647">
        <v>1</v>
      </c>
      <c r="G18" s="447"/>
      <c r="H18" s="447"/>
      <c r="I18" s="447"/>
      <c r="J18" s="646"/>
      <c r="L18" s="143" t="s">
        <v>258</v>
      </c>
      <c r="M18" s="10">
        <v>570</v>
      </c>
      <c r="P18" s="263" t="s">
        <v>203</v>
      </c>
      <c r="Q18" s="264"/>
      <c r="R18" s="265" t="s">
        <v>150</v>
      </c>
      <c r="S18" s="265"/>
      <c r="T18" s="265" t="s">
        <v>178</v>
      </c>
      <c r="U18" s="266"/>
      <c r="V18" s="265"/>
      <c r="W18" s="267"/>
    </row>
    <row r="19" spans="2:24" ht="16.2" thickBot="1" x14ac:dyDescent="0.35">
      <c r="B19" s="648"/>
      <c r="C19" s="649" t="s">
        <v>40</v>
      </c>
      <c r="D19" s="649"/>
      <c r="E19" s="649"/>
      <c r="F19" s="650">
        <v>1</v>
      </c>
      <c r="G19" s="649"/>
      <c r="H19" s="649"/>
      <c r="I19" s="649"/>
      <c r="J19" s="651"/>
      <c r="L19" s="1159" t="s">
        <v>259</v>
      </c>
      <c r="M19" s="10">
        <v>530</v>
      </c>
      <c r="P19" s="268">
        <v>50</v>
      </c>
      <c r="Q19" s="269">
        <f>P19</f>
        <v>50</v>
      </c>
      <c r="R19" s="270">
        <v>17</v>
      </c>
      <c r="S19" s="266"/>
      <c r="T19" s="270">
        <v>12</v>
      </c>
      <c r="U19" s="266"/>
      <c r="V19" s="265"/>
      <c r="W19" s="267"/>
    </row>
    <row r="20" spans="2:24" ht="15.6" x14ac:dyDescent="0.3">
      <c r="B20" s="630"/>
      <c r="C20" s="652" t="s">
        <v>220</v>
      </c>
      <c r="D20" s="447"/>
      <c r="E20" s="447" t="str">
        <f>"     Формовочный уклон "&amp;Данные!F32</f>
        <v xml:space="preserve">     Формовочный уклон 2,5</v>
      </c>
      <c r="F20" s="447"/>
      <c r="G20" s="447"/>
      <c r="H20" s="447" t="str">
        <f>"Радиус скугления прибыли "&amp;ROUND(D23/0.89,0)</f>
        <v>Радиус скугления прибыли 26</v>
      </c>
      <c r="I20" s="653"/>
      <c r="J20" s="654"/>
      <c r="L20" s="143" t="s">
        <v>260</v>
      </c>
      <c r="M20" s="10">
        <v>130</v>
      </c>
      <c r="P20" s="271"/>
      <c r="Q20" s="264"/>
      <c r="R20" s="265" t="s">
        <v>151</v>
      </c>
      <c r="S20" s="265"/>
      <c r="T20" s="265" t="s">
        <v>179</v>
      </c>
      <c r="U20" s="266"/>
      <c r="V20" s="265"/>
      <c r="W20" s="267"/>
    </row>
    <row r="21" spans="2:24" ht="15.6" x14ac:dyDescent="0.3">
      <c r="B21" s="630"/>
      <c r="C21" s="652">
        <f>IF(N11=0,ROUNDUP(M11*0.985,0),ROUNDUP(N11*0.985,0))</f>
        <v>158</v>
      </c>
      <c r="D21" s="652"/>
      <c r="E21" s="626">
        <f>M7</f>
        <v>1084</v>
      </c>
      <c r="F21" s="447"/>
      <c r="G21" s="447"/>
      <c r="H21" s="447"/>
      <c r="I21" s="653"/>
      <c r="J21" s="654"/>
      <c r="L21" s="143" t="s">
        <v>350</v>
      </c>
      <c r="M21" s="10">
        <v>970</v>
      </c>
      <c r="P21" s="263" t="s">
        <v>88</v>
      </c>
      <c r="Q21" s="264"/>
      <c r="R21" s="270">
        <v>22</v>
      </c>
      <c r="S21" s="272">
        <f>(R19+R21)/2</f>
        <v>19.5</v>
      </c>
      <c r="T21" s="270">
        <v>15</v>
      </c>
      <c r="U21" s="265">
        <f>(T19+T21)/2</f>
        <v>13.5</v>
      </c>
      <c r="V21" s="266"/>
      <c r="W21" s="267"/>
    </row>
    <row r="22" spans="2:24" ht="16.2" thickBot="1" x14ac:dyDescent="0.35">
      <c r="B22" s="630"/>
      <c r="C22" s="447"/>
      <c r="D22" s="447"/>
      <c r="E22" s="655" t="str">
        <f>"("&amp;M21&amp;")"</f>
        <v>(970)</v>
      </c>
      <c r="F22" s="447"/>
      <c r="G22" s="447"/>
      <c r="H22" s="447"/>
      <c r="I22" s="653"/>
      <c r="J22" s="654"/>
      <c r="L22" s="144" t="s">
        <v>19</v>
      </c>
      <c r="M22" s="151">
        <f>ROUNDUP(((M17*M17-M19*M19)*3.1415926*M20*M8+(M18*M18-M19*M19)*(M21-M20)*M8*3.1415926)/4000000,1)</f>
        <v>345.1</v>
      </c>
      <c r="P22" s="268">
        <v>242</v>
      </c>
      <c r="Q22" s="269">
        <f>P22</f>
        <v>242</v>
      </c>
      <c r="R22" s="265">
        <v>22</v>
      </c>
      <c r="S22" s="265"/>
      <c r="T22" s="265" t="s">
        <v>204</v>
      </c>
      <c r="U22" s="265"/>
      <c r="V22" s="266"/>
      <c r="W22" s="267"/>
    </row>
    <row r="23" spans="2:24" ht="16.2" thickBot="1" x14ac:dyDescent="0.35">
      <c r="B23" s="630"/>
      <c r="C23" s="447"/>
      <c r="D23" s="891">
        <f>ROUNDUP(M10/2.7,0)</f>
        <v>23</v>
      </c>
      <c r="E23" s="447"/>
      <c r="F23" s="447"/>
      <c r="G23" s="447"/>
      <c r="H23" s="447"/>
      <c r="I23" s="632"/>
      <c r="J23" s="656"/>
      <c r="M23" s="1160">
        <v>340</v>
      </c>
      <c r="P23" s="271"/>
      <c r="Q23" s="273">
        <v>7.2</v>
      </c>
      <c r="R23" s="270">
        <v>22</v>
      </c>
      <c r="S23" s="272">
        <f>R23</f>
        <v>22</v>
      </c>
      <c r="T23" s="270">
        <v>22</v>
      </c>
      <c r="U23" s="265">
        <f>T23</f>
        <v>22</v>
      </c>
      <c r="V23" s="266"/>
      <c r="W23" s="274"/>
    </row>
    <row r="24" spans="2:24" ht="15.6" x14ac:dyDescent="0.3">
      <c r="B24" s="630"/>
      <c r="C24" s="447"/>
      <c r="D24" s="447"/>
      <c r="E24" s="447"/>
      <c r="F24" s="447"/>
      <c r="G24" s="447"/>
      <c r="H24" s="447"/>
      <c r="I24" s="657"/>
      <c r="J24" s="656"/>
      <c r="L24" s="1551" t="s">
        <v>1005</v>
      </c>
      <c r="M24" s="1552"/>
      <c r="P24" s="271"/>
      <c r="Q24" s="275">
        <f>Q19*Q19*3.1415926*Q22*Q23/4000000</f>
        <v>3.4211943414000001</v>
      </c>
      <c r="R24" s="276" t="s">
        <v>88</v>
      </c>
      <c r="S24" s="265"/>
      <c r="T24" s="276" t="s">
        <v>205</v>
      </c>
      <c r="U24" s="265"/>
      <c r="V24" s="266"/>
      <c r="W24" s="274"/>
    </row>
    <row r="25" spans="2:24" ht="15.6" x14ac:dyDescent="0.3">
      <c r="B25" s="630"/>
      <c r="C25" s="447"/>
      <c r="D25" s="447"/>
      <c r="E25" s="447"/>
      <c r="F25" s="447"/>
      <c r="G25" s="447"/>
      <c r="H25" s="644">
        <v>120</v>
      </c>
      <c r="I25" s="658"/>
      <c r="J25" s="656"/>
      <c r="L25" s="930" t="s">
        <v>1006</v>
      </c>
      <c r="M25" s="931" t="str">
        <f>Данные!E307</f>
        <v xml:space="preserve">9 </v>
      </c>
      <c r="P25" s="271"/>
      <c r="Q25" s="265"/>
      <c r="R25" s="270">
        <v>50</v>
      </c>
      <c r="S25" s="272">
        <f>R25</f>
        <v>50</v>
      </c>
      <c r="T25" s="270">
        <v>510</v>
      </c>
      <c r="U25" s="277">
        <f>2*3.1415926*T28/2</f>
        <v>1828.4068932</v>
      </c>
      <c r="V25" s="266"/>
      <c r="W25" s="274"/>
    </row>
    <row r="26" spans="2:24" ht="15.6" x14ac:dyDescent="0.3">
      <c r="B26" s="630"/>
      <c r="C26" s="447"/>
      <c r="D26" s="447"/>
      <c r="E26" s="447"/>
      <c r="F26" s="447"/>
      <c r="G26" s="447"/>
      <c r="H26" s="447"/>
      <c r="I26" s="659"/>
      <c r="J26" s="656"/>
      <c r="L26" s="842" t="s">
        <v>969</v>
      </c>
      <c r="M26" s="931" t="str">
        <f>Данные!F307</f>
        <v xml:space="preserve">10 </v>
      </c>
      <c r="P26" s="271"/>
      <c r="Q26" s="266"/>
      <c r="R26" s="276" t="s">
        <v>174</v>
      </c>
      <c r="S26" s="265"/>
      <c r="T26" s="276" t="s">
        <v>206</v>
      </c>
      <c r="U26" s="265"/>
      <c r="V26" s="276" t="s">
        <v>207</v>
      </c>
      <c r="W26" s="274"/>
    </row>
    <row r="27" spans="2:24" ht="15.6" x14ac:dyDescent="0.3">
      <c r="B27" s="630"/>
      <c r="C27" s="447"/>
      <c r="D27" s="447"/>
      <c r="E27" s="447"/>
      <c r="F27" s="447"/>
      <c r="G27" s="447"/>
      <c r="H27" s="661" t="str">
        <f>"Ø "&amp;M5</f>
        <v>Ø 506</v>
      </c>
      <c r="I27" s="661" t="str">
        <f>"Ø "&amp;ROUNDUP(M4*0.985,0)</f>
        <v>Ø 589</v>
      </c>
      <c r="J27" s="662" t="str">
        <f>"Ø "&amp;IF(N3=0,ROUNDUP(M3*0.985,0),ROUNDUP(N3*0.985,0))</f>
        <v>Ø 619</v>
      </c>
      <c r="L27" s="842" t="s">
        <v>970</v>
      </c>
      <c r="M27" s="931" t="str">
        <f>Данные!G307</f>
        <v>10</v>
      </c>
      <c r="P27" s="271"/>
      <c r="Q27" s="266"/>
      <c r="R27" s="270">
        <v>4</v>
      </c>
      <c r="S27" s="272">
        <f>R27</f>
        <v>4</v>
      </c>
      <c r="T27" s="276" t="s">
        <v>208</v>
      </c>
      <c r="U27" s="265"/>
      <c r="V27" s="270">
        <v>180</v>
      </c>
      <c r="W27" s="274"/>
    </row>
    <row r="28" spans="2:24" ht="15.6" x14ac:dyDescent="0.3">
      <c r="B28" s="630"/>
      <c r="C28" s="447"/>
      <c r="D28" s="663"/>
      <c r="E28" s="664"/>
      <c r="F28" s="447"/>
      <c r="G28" s="447"/>
      <c r="H28" s="664" t="str">
        <f>"( "&amp;M19&amp;" )"</f>
        <v>( 530 )</v>
      </c>
      <c r="I28" s="664" t="str">
        <f>"( "&amp;M18&amp;" )"</f>
        <v>( 570 )</v>
      </c>
      <c r="J28" s="662" t="str">
        <f>"( "&amp;M17&amp;" )"</f>
        <v>( 600 )</v>
      </c>
      <c r="L28" s="842" t="s">
        <v>1021</v>
      </c>
      <c r="M28" s="842">
        <f>IF(M21&gt;=390,40,IF(M21&gt;=390,37,0))</f>
        <v>40</v>
      </c>
      <c r="P28" s="271"/>
      <c r="Q28" s="266"/>
      <c r="R28" s="266"/>
      <c r="S28" s="273">
        <f>Q23</f>
        <v>7.2</v>
      </c>
      <c r="T28" s="265">
        <f>T25+R25+T23</f>
        <v>582</v>
      </c>
      <c r="U28" s="273">
        <f>Q23</f>
        <v>7.2</v>
      </c>
      <c r="V28" s="265" t="s">
        <v>209</v>
      </c>
      <c r="W28" s="274"/>
    </row>
    <row r="29" spans="2:24" ht="16.2" thickBot="1" x14ac:dyDescent="0.35">
      <c r="B29" s="630"/>
      <c r="C29" s="447"/>
      <c r="D29" s="632"/>
      <c r="E29" s="447"/>
      <c r="F29" s="447"/>
      <c r="G29" s="447"/>
      <c r="H29" s="447"/>
      <c r="I29" s="658"/>
      <c r="J29" s="656"/>
      <c r="P29" s="278"/>
      <c r="Q29" s="279"/>
      <c r="R29" s="279"/>
      <c r="S29" s="280">
        <f>S21*S23*S25*S27*S28/1000000</f>
        <v>0.61775999999999998</v>
      </c>
      <c r="T29" s="279"/>
      <c r="U29" s="281">
        <f>U21*U23*U25*U28/1000000</f>
        <v>3.9098653004188799</v>
      </c>
      <c r="V29" s="280">
        <f>U29/360*V27</f>
        <v>1.95493265020944</v>
      </c>
      <c r="W29" s="282">
        <f>Q24+S29+V29</f>
        <v>5.9938869916094397</v>
      </c>
    </row>
    <row r="30" spans="2:24" ht="15.6" x14ac:dyDescent="0.3">
      <c r="B30" s="630"/>
      <c r="C30" s="447"/>
      <c r="D30" s="632"/>
      <c r="E30" s="632"/>
      <c r="F30" s="447"/>
      <c r="G30" s="447"/>
      <c r="H30" s="447"/>
      <c r="I30" s="658"/>
      <c r="J30" s="656"/>
    </row>
    <row r="31" spans="2:24" ht="16.2" thickBot="1" x14ac:dyDescent="0.35">
      <c r="B31" s="630"/>
      <c r="C31" s="666"/>
      <c r="D31" s="447"/>
      <c r="E31" s="667"/>
      <c r="F31" s="663"/>
      <c r="G31" s="447"/>
      <c r="H31" s="447"/>
      <c r="I31" s="658"/>
      <c r="J31" s="656"/>
      <c r="P31" s="56" t="s">
        <v>210</v>
      </c>
      <c r="Q31" s="241"/>
      <c r="R31" s="56"/>
      <c r="S31" s="56"/>
      <c r="T31" s="56"/>
      <c r="U31" s="56"/>
      <c r="V31" s="56"/>
      <c r="W31" s="56"/>
      <c r="X31" s="56"/>
    </row>
    <row r="32" spans="2:24" ht="15.6" x14ac:dyDescent="0.3">
      <c r="B32" s="630"/>
      <c r="C32" s="447"/>
      <c r="D32" s="447"/>
      <c r="E32" s="658"/>
      <c r="F32" s="663"/>
      <c r="G32" s="668"/>
      <c r="H32" s="447"/>
      <c r="I32" s="658"/>
      <c r="J32" s="656"/>
      <c r="P32" s="257" t="s">
        <v>200</v>
      </c>
      <c r="Q32" s="258"/>
      <c r="R32" s="259" t="s">
        <v>201</v>
      </c>
      <c r="S32" s="258"/>
      <c r="T32" s="259" t="s">
        <v>149</v>
      </c>
      <c r="U32" s="260"/>
      <c r="V32" s="258"/>
      <c r="W32" s="284" t="s">
        <v>186</v>
      </c>
      <c r="X32" s="261" t="s">
        <v>202</v>
      </c>
    </row>
    <row r="33" spans="2:24" ht="16.2" thickBot="1" x14ac:dyDescent="0.35">
      <c r="B33" s="630"/>
      <c r="C33" s="447"/>
      <c r="D33" s="652">
        <f>M6</f>
        <v>296</v>
      </c>
      <c r="E33" s="658"/>
      <c r="F33" s="663"/>
      <c r="G33" s="447"/>
      <c r="H33" s="447"/>
      <c r="I33" s="658"/>
      <c r="J33" s="656"/>
      <c r="P33" s="1102" t="s">
        <v>203</v>
      </c>
      <c r="Q33" s="264"/>
      <c r="R33" s="265" t="s">
        <v>150</v>
      </c>
      <c r="S33" s="265"/>
      <c r="T33" s="265" t="s">
        <v>178</v>
      </c>
      <c r="U33" s="266"/>
      <c r="V33" s="265"/>
      <c r="W33" s="285" t="s">
        <v>179</v>
      </c>
      <c r="X33" s="286"/>
    </row>
    <row r="34" spans="2:24" ht="15.6" x14ac:dyDescent="0.3">
      <c r="B34" s="630"/>
      <c r="C34" s="447"/>
      <c r="D34" s="652" t="str">
        <f>"("&amp;M20&amp;")"</f>
        <v>(130)</v>
      </c>
      <c r="E34" s="658"/>
      <c r="F34" s="663"/>
      <c r="G34" s="447"/>
      <c r="H34" s="447"/>
      <c r="I34" s="658"/>
      <c r="J34" s="656"/>
      <c r="P34" s="1103">
        <v>85</v>
      </c>
      <c r="Q34" s="1100">
        <f>IF(P35=0,P34,P35)</f>
        <v>85</v>
      </c>
      <c r="R34" s="270">
        <v>60</v>
      </c>
      <c r="S34" s="266"/>
      <c r="T34" s="270">
        <v>91</v>
      </c>
      <c r="U34" s="266"/>
      <c r="V34" s="265"/>
      <c r="W34" s="287">
        <v>120</v>
      </c>
      <c r="X34" s="286"/>
    </row>
    <row r="35" spans="2:24" ht="16.2" thickBot="1" x14ac:dyDescent="0.35">
      <c r="B35" s="630"/>
      <c r="C35" s="447"/>
      <c r="D35" s="447"/>
      <c r="E35" s="658"/>
      <c r="F35" s="663"/>
      <c r="G35" s="447"/>
      <c r="H35" s="447"/>
      <c r="I35" s="658"/>
      <c r="J35" s="656"/>
      <c r="P35" s="1104"/>
      <c r="Q35" s="1101"/>
      <c r="R35" s="265" t="s">
        <v>151</v>
      </c>
      <c r="S35" s="265"/>
      <c r="T35" s="265" t="s">
        <v>179</v>
      </c>
      <c r="U35" s="266"/>
      <c r="V35" s="265"/>
      <c r="W35" s="285" t="s">
        <v>152</v>
      </c>
      <c r="X35" s="286"/>
    </row>
    <row r="36" spans="2:24" ht="16.2" thickBot="1" x14ac:dyDescent="0.35">
      <c r="B36" s="630"/>
      <c r="C36" s="447"/>
      <c r="D36" s="447"/>
      <c r="E36" s="447" t="s">
        <v>46</v>
      </c>
      <c r="F36" s="447"/>
      <c r="G36" s="447"/>
      <c r="H36" s="447"/>
      <c r="I36" s="658"/>
      <c r="J36" s="656"/>
      <c r="P36" s="1106" t="s">
        <v>88</v>
      </c>
      <c r="Q36" s="264"/>
      <c r="R36" s="270">
        <v>55</v>
      </c>
      <c r="S36" s="272">
        <f>(R34+R36)/2</f>
        <v>57.5</v>
      </c>
      <c r="T36" s="270">
        <v>70</v>
      </c>
      <c r="U36" s="265">
        <f>(T34+T36)/2</f>
        <v>80.5</v>
      </c>
      <c r="V36" s="266"/>
      <c r="W36" s="287">
        <v>100</v>
      </c>
      <c r="X36" s="286"/>
    </row>
    <row r="37" spans="2:24" ht="15.6" x14ac:dyDescent="0.3">
      <c r="B37" s="630" t="s">
        <v>1099</v>
      </c>
      <c r="C37" s="447"/>
      <c r="D37" s="447"/>
      <c r="E37" s="644"/>
      <c r="F37" s="447"/>
      <c r="G37" s="447" t="s">
        <v>1100</v>
      </c>
      <c r="H37" s="447"/>
      <c r="I37" s="658"/>
      <c r="J37" s="656"/>
      <c r="P37" s="1103">
        <v>350</v>
      </c>
      <c r="Q37" s="1100">
        <f>IF(P38=0,P37,P38)</f>
        <v>350</v>
      </c>
      <c r="R37" s="265" t="s">
        <v>152</v>
      </c>
      <c r="S37" s="265"/>
      <c r="T37" s="265" t="s">
        <v>204</v>
      </c>
      <c r="U37" s="265"/>
      <c r="V37" s="266"/>
      <c r="W37" s="288" t="s">
        <v>219</v>
      </c>
      <c r="X37" s="286"/>
    </row>
    <row r="38" spans="2:24" ht="16.2" thickBot="1" x14ac:dyDescent="0.35">
      <c r="B38" s="630" t="s">
        <v>49</v>
      </c>
      <c r="C38" s="447"/>
      <c r="D38" s="447"/>
      <c r="E38" s="632" t="str">
        <f>VLOOKUP(F8,Марка_мет,6,FALSE())</f>
        <v>25010.00173</v>
      </c>
      <c r="F38" s="447"/>
      <c r="G38" s="447" t="s">
        <v>50</v>
      </c>
      <c r="H38" s="447"/>
      <c r="I38" s="632">
        <f>ROUNDUP(M5*M5*3.1415296*(H25+M7+M11)*2.045/4000000,0)</f>
        <v>561</v>
      </c>
      <c r="J38" s="656"/>
      <c r="P38" s="1104"/>
      <c r="Q38" s="1105">
        <v>7.5</v>
      </c>
      <c r="R38" s="270">
        <v>60</v>
      </c>
      <c r="S38" s="272">
        <f>R38</f>
        <v>60</v>
      </c>
      <c r="T38" s="270">
        <v>60</v>
      </c>
      <c r="U38" s="265">
        <f>T38</f>
        <v>60</v>
      </c>
      <c r="V38" s="266"/>
      <c r="W38" s="266">
        <f>(W34*W34*3.1415926*W36*Q38/4000000)*2</f>
        <v>16.964600040000004</v>
      </c>
      <c r="X38" s="286"/>
    </row>
    <row r="39" spans="2:24" ht="15.6" x14ac:dyDescent="0.3">
      <c r="B39" s="630" t="s">
        <v>51</v>
      </c>
      <c r="C39" s="447"/>
      <c r="D39" s="447"/>
      <c r="E39" s="632" t="str">
        <f>IF(F10&gt;1900,Данные!G4,Данные!G3)</f>
        <v>25011.00007</v>
      </c>
      <c r="F39" s="447"/>
      <c r="G39" s="447" t="s">
        <v>52</v>
      </c>
      <c r="H39" s="447" t="s">
        <v>53</v>
      </c>
      <c r="I39" s="657"/>
      <c r="J39" s="656"/>
      <c r="P39" s="1107"/>
      <c r="Q39" s="275">
        <f>Q34*Q34*3.1415926*Q37*Q38/4000000</f>
        <v>14.895566788593751</v>
      </c>
      <c r="R39" s="276" t="s">
        <v>88</v>
      </c>
      <c r="S39" s="265"/>
      <c r="T39" s="276" t="s">
        <v>205</v>
      </c>
      <c r="U39" s="265"/>
      <c r="V39" s="266"/>
      <c r="W39" s="266"/>
      <c r="X39" s="286"/>
    </row>
    <row r="40" spans="2:24" ht="15.6" x14ac:dyDescent="0.3">
      <c r="B40" s="630" t="s">
        <v>926</v>
      </c>
      <c r="C40" s="447"/>
      <c r="D40" s="447"/>
      <c r="E40" s="644" t="str">
        <f>VLOOKUP(F8,Марка_мет,2,0)&amp;"   °C"</f>
        <v>1060-1080   °C</v>
      </c>
      <c r="F40" s="447"/>
      <c r="G40" s="447" t="s">
        <v>54</v>
      </c>
      <c r="H40" s="447" t="s">
        <v>55</v>
      </c>
      <c r="I40" s="658"/>
      <c r="J40" s="654"/>
      <c r="P40" s="271"/>
      <c r="Q40" s="265"/>
      <c r="R40" s="270">
        <v>100</v>
      </c>
      <c r="S40" s="272">
        <f>R40</f>
        <v>100</v>
      </c>
      <c r="T40" s="270">
        <v>1945</v>
      </c>
      <c r="U40" s="277">
        <f>2*3.1415926*T43/2</f>
        <v>6613.0524230000001</v>
      </c>
      <c r="V40" s="266"/>
      <c r="W40" s="266"/>
      <c r="X40" s="286"/>
    </row>
    <row r="41" spans="2:24" ht="15.6" x14ac:dyDescent="0.3">
      <c r="B41" s="630" t="s">
        <v>56</v>
      </c>
      <c r="C41" s="447"/>
      <c r="D41" s="447"/>
      <c r="E41" s="644" t="s">
        <v>57</v>
      </c>
      <c r="F41" s="447"/>
      <c r="G41" s="447" t="s">
        <v>58</v>
      </c>
      <c r="H41" s="447"/>
      <c r="I41" s="659"/>
      <c r="J41" s="654"/>
      <c r="P41" s="271"/>
      <c r="Q41" s="266"/>
      <c r="R41" s="276" t="s">
        <v>174</v>
      </c>
      <c r="S41" s="265"/>
      <c r="T41" s="276" t="s">
        <v>206</v>
      </c>
      <c r="U41" s="265"/>
      <c r="V41" s="276" t="s">
        <v>207</v>
      </c>
      <c r="W41" s="266"/>
      <c r="X41" s="286"/>
    </row>
    <row r="42" spans="2:24" ht="15.6" x14ac:dyDescent="0.3">
      <c r="B42" s="630" t="s">
        <v>59</v>
      </c>
      <c r="C42" s="447"/>
      <c r="D42" s="447"/>
      <c r="E42" s="669">
        <v>1.4999999999999999E-2</v>
      </c>
      <c r="F42" s="447"/>
      <c r="G42" s="447" t="s">
        <v>60</v>
      </c>
      <c r="H42" s="447"/>
      <c r="I42" s="653"/>
      <c r="J42" s="654"/>
      <c r="P42" s="271"/>
      <c r="Q42" s="266"/>
      <c r="R42" s="270">
        <v>4</v>
      </c>
      <c r="S42" s="272">
        <f>R42</f>
        <v>4</v>
      </c>
      <c r="T42" s="276" t="s">
        <v>208</v>
      </c>
      <c r="U42" s="265"/>
      <c r="V42" s="270">
        <v>108</v>
      </c>
      <c r="W42" s="266"/>
      <c r="X42" s="286"/>
    </row>
    <row r="43" spans="2:24" ht="15.6" x14ac:dyDescent="0.3">
      <c r="B43" s="630" t="s">
        <v>54</v>
      </c>
      <c r="C43" s="447"/>
      <c r="D43" s="447"/>
      <c r="E43" s="644" t="s">
        <v>55</v>
      </c>
      <c r="F43" s="636"/>
      <c r="G43" s="447" t="s">
        <v>61</v>
      </c>
      <c r="H43" s="447"/>
      <c r="I43" s="447"/>
      <c r="J43" s="634"/>
      <c r="P43" s="271"/>
      <c r="Q43" s="266"/>
      <c r="R43" s="266"/>
      <c r="S43" s="273">
        <f>Q38</f>
        <v>7.5</v>
      </c>
      <c r="T43" s="265">
        <f>T40+R40+T38</f>
        <v>2105</v>
      </c>
      <c r="U43" s="273">
        <f>Q38</f>
        <v>7.5</v>
      </c>
      <c r="V43" s="265" t="s">
        <v>209</v>
      </c>
      <c r="W43" s="266"/>
      <c r="X43" s="286"/>
    </row>
    <row r="44" spans="2:24" ht="16.2" thickBot="1" x14ac:dyDescent="0.35">
      <c r="B44" s="630" t="s">
        <v>62</v>
      </c>
      <c r="C44" s="447"/>
      <c r="D44" s="447"/>
      <c r="E44" s="639" t="str">
        <f>Данные!B257</f>
        <v>242.04.462-1</v>
      </c>
      <c r="F44" s="644"/>
      <c r="G44" s="447" t="s">
        <v>63</v>
      </c>
      <c r="H44" s="447"/>
      <c r="I44" s="447"/>
      <c r="J44" s="634"/>
      <c r="P44" s="278"/>
      <c r="Q44" s="279"/>
      <c r="R44" s="279"/>
      <c r="S44" s="280">
        <f>S36*S38*S40*S42*S43/1000000</f>
        <v>10.35</v>
      </c>
      <c r="T44" s="279"/>
      <c r="U44" s="281">
        <f>U36*U38*U40*U43/1000000</f>
        <v>239.55782402317499</v>
      </c>
      <c r="V44" s="280">
        <f>U44/360*V42</f>
        <v>71.867347206952488</v>
      </c>
      <c r="W44" s="289"/>
      <c r="X44" s="282">
        <f>Q39+S44+V44+W38</f>
        <v>114.07751403554624</v>
      </c>
    </row>
    <row r="45" spans="2:24" ht="18" x14ac:dyDescent="0.35">
      <c r="B45" s="630" t="s">
        <v>1232</v>
      </c>
      <c r="C45" s="447"/>
      <c r="D45" s="1455">
        <f>Данные!R248</f>
        <v>1000</v>
      </c>
      <c r="E45" s="1455" t="str">
        <f>" Х "&amp;Данные!S248</f>
        <v xml:space="preserve"> Х 1000</v>
      </c>
      <c r="F45" s="1456" t="str">
        <f>" Х "&amp;Данные!T248&amp;"  /  1 шт."</f>
        <v xml:space="preserve"> Х 350  /  1 шт.</v>
      </c>
      <c r="G45" s="1457"/>
      <c r="H45" s="447"/>
      <c r="I45" s="447"/>
      <c r="J45" s="634"/>
    </row>
    <row r="46" spans="2:24" ht="18" x14ac:dyDescent="0.35">
      <c r="B46" s="1564" t="s">
        <v>1233</v>
      </c>
      <c r="C46" s="1565"/>
      <c r="D46" s="1455" t="str">
        <f>IF(Данные!S251&gt;0,Данные!R251&amp;" мм. "&amp;" / "&amp;Данные!S251&amp;" шт.")</f>
        <v>350 мм.  / 3 шт.</v>
      </c>
      <c r="E46" s="1455"/>
      <c r="F46" s="1456" t="str">
        <f>IF(Данные!S252&gt;0," / "&amp;Данные!R252&amp;" мм. / "&amp;Данные!S252&amp;" шт.","")</f>
        <v xml:space="preserve"> / 200 мм. / 1 шт.</v>
      </c>
      <c r="G46" s="1457"/>
      <c r="H46" s="447"/>
      <c r="I46" s="447"/>
      <c r="J46" s="634"/>
    </row>
    <row r="47" spans="2:24" ht="15.6" x14ac:dyDescent="0.3">
      <c r="B47" s="630"/>
      <c r="C47" s="447"/>
      <c r="D47" s="447"/>
      <c r="E47" s="644"/>
      <c r="F47" s="644"/>
      <c r="G47" s="447"/>
      <c r="H47" s="447"/>
      <c r="I47" s="447"/>
      <c r="J47" s="634"/>
      <c r="P47" s="1497"/>
      <c r="Q47" s="1498"/>
      <c r="R47" s="1498"/>
      <c r="S47" s="1498"/>
      <c r="T47" s="1498"/>
      <c r="U47" s="1498"/>
      <c r="V47" s="1498"/>
    </row>
    <row r="48" spans="2:24" ht="16.2" thickBot="1" x14ac:dyDescent="0.35">
      <c r="B48" s="630"/>
      <c r="C48" s="447" t="s">
        <v>65</v>
      </c>
      <c r="D48" s="447"/>
      <c r="E48" s="644"/>
      <c r="F48" s="644" t="s">
        <v>66</v>
      </c>
      <c r="G48" s="447"/>
      <c r="H48" s="447"/>
      <c r="I48" s="447"/>
      <c r="J48" s="634"/>
    </row>
    <row r="49" spans="2:13" ht="16.2" thickBot="1" x14ac:dyDescent="0.35">
      <c r="B49" s="637"/>
      <c r="C49" s="631" t="s">
        <v>67</v>
      </c>
      <c r="D49" s="638"/>
      <c r="E49" s="670" t="s">
        <v>68</v>
      </c>
      <c r="F49" s="671" t="s">
        <v>67</v>
      </c>
      <c r="G49" s="638"/>
      <c r="H49" s="631" t="s">
        <v>69</v>
      </c>
      <c r="I49" s="631"/>
      <c r="J49" s="638"/>
    </row>
    <row r="50" spans="2:13" ht="16.2" thickBot="1" x14ac:dyDescent="0.35">
      <c r="B50" s="1559">
        <f ca="1">TODAY()</f>
        <v>45428</v>
      </c>
      <c r="C50" s="1560"/>
      <c r="D50" s="1561"/>
      <c r="E50" s="672"/>
      <c r="F50" s="673"/>
      <c r="G50" s="674"/>
      <c r="H50" s="675"/>
      <c r="I50" s="675"/>
      <c r="J50" s="674"/>
    </row>
    <row r="51" spans="2:13" ht="16.2" thickBot="1" x14ac:dyDescent="0.35">
      <c r="B51" s="648"/>
      <c r="C51" s="649" t="s">
        <v>70</v>
      </c>
      <c r="D51" s="674"/>
      <c r="E51" s="676"/>
      <c r="F51" s="649"/>
      <c r="G51" s="649"/>
      <c r="H51" s="649"/>
      <c r="I51" s="649"/>
      <c r="J51" s="677"/>
    </row>
    <row r="52" spans="2:13" s="43" customFormat="1" ht="16.2" thickBot="1" x14ac:dyDescent="0.35">
      <c r="B52" s="630"/>
      <c r="C52" s="447"/>
      <c r="D52" s="447"/>
      <c r="E52" s="447"/>
      <c r="F52" s="447"/>
      <c r="G52" s="447"/>
      <c r="H52" s="447"/>
      <c r="I52" s="447"/>
      <c r="J52" s="634"/>
      <c r="L52"/>
      <c r="M52"/>
    </row>
    <row r="53" spans="2:13" ht="15.6" x14ac:dyDescent="0.3">
      <c r="B53" s="678" t="s">
        <v>6</v>
      </c>
      <c r="C53" s="679"/>
      <c r="D53" s="680"/>
      <c r="E53" s="681" t="s">
        <v>295</v>
      </c>
      <c r="F53" s="682" t="s">
        <v>296</v>
      </c>
      <c r="G53" s="681" t="s">
        <v>296</v>
      </c>
      <c r="H53" s="681" t="s">
        <v>297</v>
      </c>
      <c r="I53" s="678" t="s">
        <v>298</v>
      </c>
      <c r="J53" s="680"/>
      <c r="L53" s="63"/>
      <c r="M53" s="43"/>
    </row>
    <row r="54" spans="2:13" ht="16.2" thickBot="1" x14ac:dyDescent="0.35">
      <c r="B54" s="683"/>
      <c r="C54" s="684" t="s">
        <v>299</v>
      </c>
      <c r="D54" s="685"/>
      <c r="E54" s="686" t="s">
        <v>300</v>
      </c>
      <c r="F54" s="686" t="s">
        <v>301</v>
      </c>
      <c r="G54" s="686" t="s">
        <v>302</v>
      </c>
      <c r="H54" s="686"/>
      <c r="I54" s="687" t="s">
        <v>303</v>
      </c>
      <c r="J54" s="685"/>
      <c r="L54" s="63"/>
    </row>
    <row r="55" spans="2:13" ht="16.2" thickBot="1" x14ac:dyDescent="0.35">
      <c r="B55" s="683"/>
      <c r="C55" s="684" t="s">
        <v>400</v>
      </c>
      <c r="D55" s="684"/>
      <c r="E55" s="688">
        <v>40</v>
      </c>
      <c r="F55" s="689">
        <v>1</v>
      </c>
      <c r="G55" s="688">
        <v>20</v>
      </c>
      <c r="H55" s="686">
        <v>3</v>
      </c>
      <c r="I55" s="1553">
        <f>ROUNDUP(Данные!R248*Данные!S248*Данные!R257/1000000*2.045*2.3/1000/F17,3)</f>
        <v>7.5260000000000007</v>
      </c>
      <c r="J55" s="1554"/>
      <c r="K55" s="63"/>
    </row>
    <row r="56" spans="2:13" ht="16.2" thickBot="1" x14ac:dyDescent="0.35">
      <c r="B56" s="683"/>
      <c r="C56" s="684" t="s">
        <v>48</v>
      </c>
      <c r="D56" s="684"/>
      <c r="E56" s="690">
        <v>40</v>
      </c>
      <c r="F56" s="691">
        <v>1</v>
      </c>
      <c r="G56" s="690">
        <v>20</v>
      </c>
      <c r="H56" s="686">
        <v>4</v>
      </c>
      <c r="I56" s="1553">
        <f>ROUND(I38/1000*3.5/F17,3)</f>
        <v>1.964</v>
      </c>
      <c r="J56" s="1554"/>
      <c r="K56" s="63"/>
    </row>
    <row r="62" spans="2:13" x14ac:dyDescent="0.3">
      <c r="D62" s="43"/>
      <c r="E62" s="43"/>
      <c r="F62" s="43"/>
      <c r="G62" s="43"/>
      <c r="H62" s="43"/>
      <c r="I62" s="43"/>
      <c r="J62" s="43"/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C64" s="43"/>
      <c r="D64" s="43"/>
      <c r="E64" s="43"/>
      <c r="F64" s="43"/>
      <c r="G64" s="43"/>
      <c r="H64" s="43"/>
      <c r="I64" s="43"/>
      <c r="J64" s="43"/>
      <c r="K64" s="43"/>
    </row>
  </sheetData>
  <mergeCells count="6">
    <mergeCell ref="I56:J56"/>
    <mergeCell ref="L16:M16"/>
    <mergeCell ref="I55:J55"/>
    <mergeCell ref="B50:D50"/>
    <mergeCell ref="L24:M24"/>
    <mergeCell ref="B46:C46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7620</xdr:rowOff>
                  </from>
                  <to>
                    <xdr:col>13</xdr:col>
                    <xdr:colOff>647700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Y152"/>
  <sheetViews>
    <sheetView showGridLines="0" zoomScale="85" zoomScaleNormal="85" workbookViewId="0">
      <selection activeCell="N19" sqref="N19"/>
    </sheetView>
  </sheetViews>
  <sheetFormatPr defaultRowHeight="14.4" x14ac:dyDescent="0.3"/>
  <cols>
    <col min="1" max="1" width="1.33203125" customWidth="1"/>
    <col min="2" max="2" width="2.21875" customWidth="1"/>
    <col min="3" max="3" width="8.109375" customWidth="1"/>
    <col min="4" max="4" width="6.6640625" customWidth="1"/>
    <col min="5" max="5" width="17.21875" customWidth="1"/>
    <col min="6" max="6" width="12.77734375" customWidth="1"/>
    <col min="7" max="7" width="2.6640625" style="43" customWidth="1"/>
    <col min="8" max="8" width="8.88671875" customWidth="1"/>
    <col min="9" max="9" width="6.21875" customWidth="1"/>
    <col min="10" max="10" width="6.88671875" customWidth="1"/>
    <col min="11" max="11" width="11.21875" customWidth="1"/>
    <col min="12" max="12" width="2.88671875" style="43" customWidth="1"/>
    <col min="13" max="13" width="22.44140625" customWidth="1"/>
    <col min="14" max="14" width="14.21875" customWidth="1"/>
    <col min="15" max="15" width="8.21875" customWidth="1"/>
    <col min="16" max="16" width="2.77734375" customWidth="1"/>
    <col min="17" max="17" width="9.88671875" customWidth="1"/>
    <col min="18" max="18" width="11.6640625" customWidth="1"/>
    <col min="20" max="20" width="14.88671875" customWidth="1"/>
    <col min="21" max="21" width="9.77734375" customWidth="1"/>
    <col min="23" max="23" width="10" customWidth="1"/>
  </cols>
  <sheetData>
    <row r="1" spans="2:25" ht="16.2" thickBot="1" x14ac:dyDescent="0.35">
      <c r="K1" t="s">
        <v>402</v>
      </c>
      <c r="M1" s="1612" t="s">
        <v>279</v>
      </c>
      <c r="N1" s="1613"/>
      <c r="O1" s="43"/>
    </row>
    <row r="2" spans="2:25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0" t="s">
        <v>1097</v>
      </c>
      <c r="L2" s="4"/>
    </row>
    <row r="3" spans="2:25" ht="15" thickBot="1" x14ac:dyDescent="0.35">
      <c r="B3" s="4"/>
      <c r="C3" s="71" t="s">
        <v>2</v>
      </c>
      <c r="D3" s="71"/>
      <c r="E3" s="71"/>
      <c r="F3" s="603" t="s">
        <v>1264</v>
      </c>
      <c r="G3" s="6"/>
      <c r="H3" s="71"/>
      <c r="I3" s="81"/>
      <c r="J3" s="81"/>
      <c r="K3" s="82"/>
      <c r="L3" s="332"/>
      <c r="M3" s="1596" t="s">
        <v>30</v>
      </c>
      <c r="N3" s="1597"/>
      <c r="O3" s="1328"/>
      <c r="P3" s="332"/>
      <c r="Q3" s="1026"/>
      <c r="R3" s="1618" t="s">
        <v>925</v>
      </c>
      <c r="S3" s="1618"/>
      <c r="T3" s="1618"/>
      <c r="U3" s="1618"/>
      <c r="V3" s="1618"/>
      <c r="W3" s="1027"/>
    </row>
    <row r="4" spans="2:25" ht="15" thickBot="1" x14ac:dyDescent="0.35">
      <c r="B4" s="4"/>
      <c r="C4" s="59" t="s">
        <v>4</v>
      </c>
      <c r="D4" s="59"/>
      <c r="E4" s="59"/>
      <c r="F4" s="620" t="s">
        <v>1269</v>
      </c>
      <c r="G4" s="139"/>
      <c r="H4" s="60"/>
      <c r="I4" s="59"/>
      <c r="J4" s="59"/>
      <c r="K4" s="10"/>
      <c r="L4" s="59"/>
      <c r="M4" s="1308" t="s">
        <v>187</v>
      </c>
      <c r="N4" s="1327">
        <v>122</v>
      </c>
      <c r="O4" s="70"/>
      <c r="P4" s="59"/>
      <c r="Q4" s="1077" t="s">
        <v>1019</v>
      </c>
      <c r="R4" s="1247">
        <v>1</v>
      </c>
      <c r="S4" s="1247">
        <v>2</v>
      </c>
      <c r="T4" s="1247">
        <v>3</v>
      </c>
      <c r="U4" s="1248">
        <v>4</v>
      </c>
      <c r="V4" s="1025" t="s">
        <v>859</v>
      </c>
      <c r="W4" s="1024"/>
    </row>
    <row r="5" spans="2:25" ht="15" thickBot="1" x14ac:dyDescent="0.35">
      <c r="B5" s="4"/>
      <c r="C5" s="59" t="s">
        <v>6</v>
      </c>
      <c r="D5" s="59"/>
      <c r="E5" s="59"/>
      <c r="F5" s="620" t="s">
        <v>7</v>
      </c>
      <c r="G5" s="1046"/>
      <c r="H5" s="60"/>
      <c r="I5" s="59"/>
      <c r="J5" s="59"/>
      <c r="K5" s="10"/>
      <c r="L5" s="59"/>
      <c r="M5" s="1308" t="s">
        <v>254</v>
      </c>
      <c r="N5" s="61">
        <v>78</v>
      </c>
      <c r="P5" s="59"/>
      <c r="Q5" s="1022"/>
      <c r="R5" s="59">
        <v>0</v>
      </c>
      <c r="S5" s="59">
        <v>0</v>
      </c>
      <c r="T5" s="59">
        <v>204</v>
      </c>
      <c r="U5" s="10">
        <v>375</v>
      </c>
      <c r="V5" s="618">
        <f>SUM(R5:U5)</f>
        <v>579</v>
      </c>
      <c r="W5" s="1024"/>
      <c r="X5">
        <v>6</v>
      </c>
    </row>
    <row r="6" spans="2:25" ht="15" thickBot="1" x14ac:dyDescent="0.35">
      <c r="B6" s="4"/>
      <c r="C6" s="59" t="s">
        <v>10</v>
      </c>
      <c r="D6" s="59"/>
      <c r="E6" s="59"/>
      <c r="F6" s="769">
        <v>15</v>
      </c>
      <c r="G6" s="166"/>
      <c r="H6" s="17"/>
      <c r="I6" s="59"/>
      <c r="J6" s="59"/>
      <c r="K6" s="10"/>
      <c r="L6" s="59"/>
      <c r="M6" s="1308" t="s">
        <v>317</v>
      </c>
      <c r="N6" s="61">
        <v>210</v>
      </c>
      <c r="P6" s="59"/>
      <c r="Q6" s="1022"/>
      <c r="R6" s="1029">
        <f t="shared" ref="R6:U8" si="0">R5/$V5*$V6</f>
        <v>0</v>
      </c>
      <c r="S6" s="1029">
        <f t="shared" si="0"/>
        <v>0</v>
      </c>
      <c r="T6" s="1029">
        <f t="shared" si="0"/>
        <v>439.35751295336786</v>
      </c>
      <c r="U6" s="1078">
        <f t="shared" si="0"/>
        <v>807.64248704663214</v>
      </c>
      <c r="V6" s="1423">
        <v>1247</v>
      </c>
      <c r="W6" s="619" t="s">
        <v>1044</v>
      </c>
      <c r="X6" s="1073">
        <f>T6/$X$5</f>
        <v>73.226252158894638</v>
      </c>
      <c r="Y6" s="1073">
        <f t="shared" ref="X6:Y8" si="1">U6/$X$5</f>
        <v>134.60708117443869</v>
      </c>
    </row>
    <row r="7" spans="2:25" ht="15" thickBot="1" x14ac:dyDescent="0.35">
      <c r="B7" s="19"/>
      <c r="C7" s="65"/>
      <c r="D7" s="65"/>
      <c r="E7" s="65"/>
      <c r="F7" s="352"/>
      <c r="G7" s="65"/>
      <c r="H7" s="65"/>
      <c r="I7" s="65"/>
      <c r="J7" s="65"/>
      <c r="K7" s="40"/>
      <c r="L7" s="59"/>
      <c r="M7" s="1309" t="s">
        <v>1211</v>
      </c>
      <c r="N7" s="70">
        <v>1</v>
      </c>
      <c r="O7" s="59"/>
      <c r="P7" s="59"/>
      <c r="Q7" s="1022"/>
      <c r="R7" s="1029">
        <f t="shared" ref="R7" si="2">R6/$V6*$V7</f>
        <v>0</v>
      </c>
      <c r="S7" s="1029">
        <f t="shared" ref="S7" si="3">S6/$V6*$V7</f>
        <v>0</v>
      </c>
      <c r="T7" s="1029">
        <f t="shared" si="0"/>
        <v>672.95336787564759</v>
      </c>
      <c r="U7" s="1078">
        <f t="shared" si="0"/>
        <v>1237.0466321243523</v>
      </c>
      <c r="V7" s="1423">
        <v>1910</v>
      </c>
      <c r="W7" s="619" t="s">
        <v>1043</v>
      </c>
      <c r="X7" s="1073">
        <f t="shared" si="1"/>
        <v>112.15889464594126</v>
      </c>
      <c r="Y7" s="1073">
        <f t="shared" si="1"/>
        <v>206.17443868739204</v>
      </c>
    </row>
    <row r="8" spans="2:25" ht="15" thickBot="1" x14ac:dyDescent="0.35">
      <c r="B8" s="12"/>
      <c r="C8" s="71" t="s">
        <v>16</v>
      </c>
      <c r="D8" s="71"/>
      <c r="E8" s="71"/>
      <c r="F8" s="351" t="s">
        <v>21</v>
      </c>
      <c r="G8" s="99"/>
      <c r="H8" s="71"/>
      <c r="I8" s="71"/>
      <c r="J8" s="71" t="s">
        <v>17</v>
      </c>
      <c r="K8" s="185">
        <f ca="1">F9/F11</f>
        <v>0.48679245283018868</v>
      </c>
      <c r="L8" s="1307"/>
      <c r="M8" s="1310" t="s">
        <v>12</v>
      </c>
      <c r="N8" s="165">
        <f>VLOOKUP(F8,Данные!A3:I27,9,FALSE)</f>
        <v>8.8800000000000008</v>
      </c>
      <c r="O8" s="59"/>
      <c r="Q8" s="1023"/>
      <c r="R8" s="1030">
        <f t="shared" ref="R8" si="4">R7/$V7*$V8</f>
        <v>0</v>
      </c>
      <c r="S8" s="1030">
        <f t="shared" ref="S8" si="5">S7/$V7*$V8</f>
        <v>0</v>
      </c>
      <c r="T8" s="1030">
        <f t="shared" si="0"/>
        <v>699.73056994818648</v>
      </c>
      <c r="U8" s="1079">
        <f t="shared" si="0"/>
        <v>1286.2694300518135</v>
      </c>
      <c r="V8" s="1423">
        <v>1986</v>
      </c>
      <c r="W8" s="619" t="s">
        <v>1016</v>
      </c>
      <c r="X8" s="1073">
        <f t="shared" si="1"/>
        <v>116.62176165803108</v>
      </c>
      <c r="Y8" s="1073">
        <f t="shared" si="1"/>
        <v>214.37823834196891</v>
      </c>
    </row>
    <row r="9" spans="2:25" x14ac:dyDescent="0.3">
      <c r="B9" s="4"/>
      <c r="C9" s="59" t="s">
        <v>19</v>
      </c>
      <c r="D9" s="59"/>
      <c r="E9" s="59"/>
      <c r="F9" s="611">
        <f>IF(N10&lt;&gt;0,N10,IF(N9&lt;100,ROUNDUP(N9,1),ROUNDUP(N9,0)))</f>
        <v>12.9</v>
      </c>
      <c r="G9" s="353"/>
      <c r="H9" s="17"/>
      <c r="I9" s="59"/>
      <c r="J9" s="59" t="s">
        <v>23</v>
      </c>
      <c r="K9" s="15">
        <f ca="1">F9/F13</f>
        <v>0.46739130434782605</v>
      </c>
      <c r="L9" s="178"/>
      <c r="M9" s="1311" t="s">
        <v>332</v>
      </c>
      <c r="N9" s="1271">
        <f>IF(O4=0,(N4*N4-N5*N5)*N6*3.1415926*N8/4000000,(O4*O4-N5*N5)*N6*3.1415926*N8/4000000)</f>
        <v>12.888572137056002</v>
      </c>
      <c r="O9" s="136"/>
    </row>
    <row r="10" spans="2:25" ht="15" thickBot="1" x14ac:dyDescent="0.35">
      <c r="B10" s="4"/>
      <c r="C10" s="59" t="s">
        <v>22</v>
      </c>
      <c r="D10" s="59"/>
      <c r="E10" s="59"/>
      <c r="F10" s="140">
        <f ca="1">IF(N29&gt;=100,ROUNDUP(N29,0),ROUNDUP(N29,1))</f>
        <v>26.5</v>
      </c>
      <c r="G10" s="16"/>
      <c r="H10" s="17"/>
      <c r="I10" s="59"/>
      <c r="J10" s="59"/>
      <c r="K10" s="18"/>
      <c r="L10" s="514"/>
      <c r="M10" s="392" t="s">
        <v>333</v>
      </c>
      <c r="N10" s="128"/>
    </row>
    <row r="11" spans="2:25" ht="15" thickBot="1" x14ac:dyDescent="0.35">
      <c r="B11" s="4"/>
      <c r="C11" s="60" t="s">
        <v>315</v>
      </c>
      <c r="D11" s="59"/>
      <c r="E11" s="59"/>
      <c r="F11" s="140">
        <f ca="1">ROUNDUP(F10/F14,1)</f>
        <v>26.5</v>
      </c>
      <c r="G11" s="16"/>
      <c r="H11" s="17"/>
      <c r="I11" s="59"/>
      <c r="J11" s="59"/>
      <c r="K11" s="18"/>
      <c r="L11" s="514"/>
      <c r="M11" s="1598" t="s">
        <v>318</v>
      </c>
      <c r="N11" s="1599"/>
      <c r="P11" s="43"/>
      <c r="Q11" s="1614" t="s">
        <v>941</v>
      </c>
      <c r="R11" s="1615"/>
      <c r="S11" s="1140">
        <v>245</v>
      </c>
      <c r="T11" s="747" t="s">
        <v>942</v>
      </c>
      <c r="U11" s="748">
        <f>S12/60+S11</f>
        <v>255.66666666666666</v>
      </c>
      <c r="V11" s="43"/>
    </row>
    <row r="12" spans="2:25" ht="15" thickBot="1" x14ac:dyDescent="0.35">
      <c r="B12" s="4"/>
      <c r="C12" s="59" t="s">
        <v>32</v>
      </c>
      <c r="D12" s="59"/>
      <c r="E12" s="59"/>
      <c r="F12" s="140">
        <f ca="1">IF(F10&lt;96,ROUNDUP(F10*1.04,1),ROUNDUP(F10*1.04,0))</f>
        <v>27.6</v>
      </c>
      <c r="G12" s="16"/>
      <c r="H12" s="17"/>
      <c r="I12" s="59"/>
      <c r="J12" s="59"/>
      <c r="K12" s="18"/>
      <c r="L12" s="514"/>
      <c r="M12" s="391" t="s">
        <v>383</v>
      </c>
      <c r="N12" s="186">
        <f>Данные!L166</f>
        <v>4.5</v>
      </c>
      <c r="P12" s="43"/>
      <c r="Q12" s="1616" t="s">
        <v>931</v>
      </c>
      <c r="R12" s="1617"/>
      <c r="S12" s="749">
        <v>640</v>
      </c>
      <c r="T12" s="767" t="s">
        <v>12</v>
      </c>
      <c r="U12" s="768">
        <v>8.8800000000000008</v>
      </c>
    </row>
    <row r="13" spans="2:25" ht="15" thickBot="1" x14ac:dyDescent="0.35">
      <c r="B13" s="4"/>
      <c r="C13" s="60" t="s">
        <v>316</v>
      </c>
      <c r="D13" s="59"/>
      <c r="E13" s="59"/>
      <c r="F13" s="140">
        <f ca="1">ROUNDUP(F12/F14,1)</f>
        <v>27.6</v>
      </c>
      <c r="G13" s="75"/>
      <c r="H13" s="17"/>
      <c r="I13" s="59"/>
      <c r="J13" s="59"/>
      <c r="K13" s="18"/>
      <c r="L13" s="514"/>
      <c r="M13" s="391" t="s">
        <v>384</v>
      </c>
      <c r="N13" s="186">
        <f ca="1">Данные!M167</f>
        <v>8.5</v>
      </c>
      <c r="P13" s="43"/>
      <c r="Q13" s="1616" t="s">
        <v>328</v>
      </c>
      <c r="R13" s="1617"/>
      <c r="S13" s="749">
        <v>110</v>
      </c>
      <c r="T13" s="750"/>
      <c r="U13" s="1404">
        <f>((U16*U16-U18*U18)*3.1415926*U19*U12+(U17*U17-U18*U18)*(U20-U19)*U12*3.1415926)/4000000</f>
        <v>126.12388448404801</v>
      </c>
    </row>
    <row r="14" spans="2:25" ht="15" thickBot="1" x14ac:dyDescent="0.35">
      <c r="B14" s="19"/>
      <c r="C14" s="65" t="s">
        <v>36</v>
      </c>
      <c r="D14" s="65"/>
      <c r="E14" s="65"/>
      <c r="F14" s="352">
        <f>N7</f>
        <v>1</v>
      </c>
      <c r="G14" s="21"/>
      <c r="H14" s="65"/>
      <c r="I14" s="65"/>
      <c r="J14" s="65"/>
      <c r="K14" s="22"/>
      <c r="L14" s="514"/>
      <c r="M14" s="392" t="s">
        <v>385</v>
      </c>
      <c r="N14" s="187">
        <f ca="1">Данные!L160</f>
        <v>1</v>
      </c>
      <c r="Q14" s="1616" t="s">
        <v>329</v>
      </c>
      <c r="R14" s="1617"/>
      <c r="S14" s="749">
        <v>640</v>
      </c>
      <c r="T14" s="750"/>
      <c r="U14" s="751"/>
    </row>
    <row r="15" spans="2:25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71"/>
      <c r="K15" s="13"/>
      <c r="L15" s="59"/>
      <c r="M15" s="391" t="s">
        <v>382</v>
      </c>
      <c r="N15" s="186">
        <f ca="1">Данные!K169</f>
        <v>35</v>
      </c>
      <c r="Q15" s="1600" t="s">
        <v>174</v>
      </c>
      <c r="R15" s="1601"/>
      <c r="S15" s="752">
        <v>1</v>
      </c>
      <c r="T15" s="1006"/>
      <c r="U15" s="751"/>
    </row>
    <row r="16" spans="2:25" x14ac:dyDescent="0.3">
      <c r="B16" s="4"/>
      <c r="C16" s="59"/>
      <c r="D16" s="59"/>
      <c r="E16" s="59"/>
      <c r="F16" s="17"/>
      <c r="G16" s="17"/>
      <c r="H16" s="59"/>
      <c r="I16" s="59"/>
      <c r="J16" s="59"/>
      <c r="K16" s="18"/>
      <c r="L16" s="514"/>
      <c r="M16" s="392" t="s">
        <v>46</v>
      </c>
      <c r="N16" s="187">
        <f>Данные!M179</f>
        <v>8</v>
      </c>
      <c r="Q16" s="1602" t="s">
        <v>22</v>
      </c>
      <c r="R16" s="1603"/>
      <c r="S16" s="753">
        <f>((U11*U11-S13*S13)*3.1415926*S14*U12)/4000000</f>
        <v>237.75429372625834</v>
      </c>
      <c r="T16" s="487" t="s">
        <v>1035</v>
      </c>
      <c r="U16" s="1008"/>
    </row>
    <row r="17" spans="2:23" x14ac:dyDescent="0.3">
      <c r="B17" s="4"/>
      <c r="C17" s="59"/>
      <c r="D17" s="59"/>
      <c r="E17" s="59"/>
      <c r="F17" s="17"/>
      <c r="G17" s="17"/>
      <c r="H17" s="59"/>
      <c r="I17" s="59"/>
      <c r="J17" s="59"/>
      <c r="K17" s="18"/>
      <c r="L17" s="514"/>
      <c r="M17" s="1406" t="s">
        <v>1121</v>
      </c>
      <c r="N17" s="1407">
        <f ca="1">(N25*0.99-N19)/2</f>
        <v>35.587500000000006</v>
      </c>
      <c r="Q17" s="1604" t="s">
        <v>932</v>
      </c>
      <c r="R17" s="1605"/>
      <c r="S17" s="754">
        <f>S16/S15</f>
        <v>237.75429372625834</v>
      </c>
      <c r="T17" s="1007" t="s">
        <v>1036</v>
      </c>
      <c r="U17" s="856">
        <v>725</v>
      </c>
    </row>
    <row r="18" spans="2:23" x14ac:dyDescent="0.3">
      <c r="B18" s="4"/>
      <c r="C18" s="59"/>
      <c r="D18" s="59"/>
      <c r="E18" s="59"/>
      <c r="F18" s="17"/>
      <c r="G18" s="17"/>
      <c r="H18" s="59"/>
      <c r="I18" s="59"/>
      <c r="J18" s="59"/>
      <c r="K18" s="10"/>
      <c r="L18" s="59"/>
      <c r="M18" s="1312" t="s">
        <v>380</v>
      </c>
      <c r="N18" s="1047">
        <f ca="1">IF(F32&lt;60,N4+(N12*2),(F32+F31)/60+N25)</f>
        <v>131</v>
      </c>
      <c r="Q18" s="1604" t="s">
        <v>32</v>
      </c>
      <c r="R18" s="1605"/>
      <c r="S18" s="754">
        <f>S16*1.04</f>
        <v>247.26446547530867</v>
      </c>
      <c r="T18" s="980" t="s">
        <v>1034</v>
      </c>
      <c r="U18" s="856">
        <v>645</v>
      </c>
    </row>
    <row r="19" spans="2:23" x14ac:dyDescent="0.3">
      <c r="B19" s="120"/>
      <c r="C19" s="121" t="str">
        <f>"Ø "&amp;ROUND(N25*0.99,0)</f>
        <v>Ø 131</v>
      </c>
      <c r="D19" s="59"/>
      <c r="E19" s="59"/>
      <c r="F19" s="17"/>
      <c r="G19" s="17"/>
      <c r="H19" s="127" t="str">
        <f ca="1">"Ø "&amp;N19</f>
        <v>Ø 60</v>
      </c>
      <c r="I19" s="59"/>
      <c r="J19" s="59"/>
      <c r="K19" s="10"/>
      <c r="L19" s="59"/>
      <c r="M19" s="1312" t="s">
        <v>381</v>
      </c>
      <c r="N19" s="188">
        <f ca="1">_xlfn.FLOOR.MATH(N5-(Данные!M167*2),2.5)</f>
        <v>60</v>
      </c>
      <c r="Q19" s="1604" t="s">
        <v>933</v>
      </c>
      <c r="R19" s="1605"/>
      <c r="S19" s="754">
        <f>S17*1.04</f>
        <v>247.26446547530867</v>
      </c>
      <c r="T19" s="980" t="s">
        <v>260</v>
      </c>
      <c r="U19" s="856"/>
      <c r="W19" s="1073"/>
    </row>
    <row r="20" spans="2:23" ht="15" thickBot="1" x14ac:dyDescent="0.35">
      <c r="B20" s="4"/>
      <c r="C20" s="129" t="str">
        <f>IF(O4=0,"( "&amp;N4&amp;" )","( "&amp;O4&amp;" )")</f>
        <v>( 122 )</v>
      </c>
      <c r="D20" s="59"/>
      <c r="E20" s="59"/>
      <c r="F20" s="17"/>
      <c r="G20" s="17"/>
      <c r="H20" s="126" t="str">
        <f>"( "&amp;N5&amp;" )"</f>
        <v>( 78 )</v>
      </c>
      <c r="I20" s="393"/>
      <c r="J20" s="59"/>
      <c r="K20" s="116"/>
      <c r="L20" s="1303"/>
      <c r="M20" s="1312" t="s">
        <v>329</v>
      </c>
      <c r="N20" s="188">
        <f ca="1">IF(N7=1,MROUND((N6+N15),1),MROUND(((N6+N16)*N7+N15),1))</f>
        <v>245</v>
      </c>
      <c r="Q20" s="1604" t="s">
        <v>934</v>
      </c>
      <c r="R20" s="1605"/>
      <c r="S20" s="754">
        <f>U21/S17</f>
        <v>0.53416490617083534</v>
      </c>
      <c r="T20" s="981" t="s">
        <v>261</v>
      </c>
      <c r="U20" s="857">
        <v>165</v>
      </c>
    </row>
    <row r="21" spans="2:23" ht="15" thickBot="1" x14ac:dyDescent="0.35">
      <c r="B21" s="4"/>
      <c r="C21" s="59"/>
      <c r="D21" s="59"/>
      <c r="E21" s="59"/>
      <c r="F21" s="17"/>
      <c r="G21" s="17"/>
      <c r="H21" s="350"/>
      <c r="I21" s="59"/>
      <c r="J21" s="59"/>
      <c r="K21" s="18"/>
      <c r="L21" s="514"/>
      <c r="M21" s="1313" t="s">
        <v>752</v>
      </c>
      <c r="N21" s="40">
        <v>1</v>
      </c>
      <c r="Q21" s="1606" t="s">
        <v>935</v>
      </c>
      <c r="R21" s="1607"/>
      <c r="S21" s="860">
        <f>U21/S19</f>
        <v>0.51362010208734166</v>
      </c>
      <c r="T21" s="858" t="s">
        <v>19</v>
      </c>
      <c r="U21" s="1235">
        <f>IF(U13&gt;=100,ROUNDUP(U13,0),ROUNDUP(U13,1))</f>
        <v>127</v>
      </c>
    </row>
    <row r="22" spans="2:23" ht="16.2" thickBot="1" x14ac:dyDescent="0.35">
      <c r="B22" s="4"/>
      <c r="C22" s="59"/>
      <c r="D22" s="59"/>
      <c r="E22" s="59"/>
      <c r="F22" s="17"/>
      <c r="G22" s="17"/>
      <c r="H22" s="59"/>
      <c r="I22" s="59"/>
      <c r="J22" s="59"/>
      <c r="K22" s="18"/>
      <c r="L22" s="514"/>
      <c r="M22" s="1314" t="s">
        <v>326</v>
      </c>
      <c r="N22" s="184"/>
    </row>
    <row r="23" spans="2:23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14"/>
      <c r="M23" s="1315" t="s">
        <v>392</v>
      </c>
      <c r="N23" s="198">
        <f>ROUNDUP((N4+(N12*2))/0.99/2.5,0)*2.5</f>
        <v>132.5</v>
      </c>
      <c r="Q23" s="1188" t="s">
        <v>1132</v>
      </c>
      <c r="R23" s="1189"/>
      <c r="S23" s="1190"/>
      <c r="U23" t="s">
        <v>1200</v>
      </c>
    </row>
    <row r="24" spans="2:23" x14ac:dyDescent="0.3">
      <c r="B24" s="4"/>
      <c r="C24" s="59"/>
      <c r="D24" s="59"/>
      <c r="E24" s="115">
        <f ca="1">N20+N21</f>
        <v>246</v>
      </c>
      <c r="F24" s="59"/>
      <c r="G24" s="59"/>
      <c r="H24" s="59"/>
      <c r="I24" s="59"/>
      <c r="J24" s="59"/>
      <c r="K24" s="18"/>
      <c r="L24" s="514"/>
      <c r="M24" s="1315" t="s">
        <v>393</v>
      </c>
      <c r="N24" s="199">
        <f ca="1">F33+F31</f>
        <v>290</v>
      </c>
      <c r="Q24" s="1202" t="s">
        <v>1133</v>
      </c>
      <c r="R24" s="1203"/>
      <c r="S24" s="1204">
        <v>100</v>
      </c>
      <c r="U24" t="s">
        <v>1180</v>
      </c>
    </row>
    <row r="25" spans="2:23" ht="15" thickBot="1" x14ac:dyDescent="0.35">
      <c r="B25" s="4"/>
      <c r="C25" s="59"/>
      <c r="D25" s="59"/>
      <c r="E25" s="126" t="str">
        <f>"( "&amp;N6&amp;" )"</f>
        <v>( 210 )</v>
      </c>
      <c r="F25" s="1045"/>
      <c r="G25" s="23"/>
      <c r="H25" s="59"/>
      <c r="I25" s="59"/>
      <c r="J25" s="59"/>
      <c r="K25" s="18"/>
      <c r="L25" s="514"/>
      <c r="M25" s="1316" t="s">
        <v>203</v>
      </c>
      <c r="N25" s="1317">
        <v>132.5</v>
      </c>
      <c r="Q25" s="19" t="s">
        <v>1134</v>
      </c>
      <c r="R25" s="65"/>
      <c r="S25" s="1160">
        <v>3</v>
      </c>
      <c r="U25" t="s">
        <v>1181</v>
      </c>
    </row>
    <row r="26" spans="2:23" ht="15" thickBot="1" x14ac:dyDescent="0.35">
      <c r="B26" s="19"/>
      <c r="C26" s="65"/>
      <c r="D26" s="65"/>
      <c r="E26" s="125"/>
      <c r="F26" s="1174"/>
      <c r="G26" s="167"/>
      <c r="H26" s="65"/>
      <c r="I26" s="65"/>
      <c r="J26" s="65"/>
      <c r="K26" s="1158"/>
      <c r="L26" s="514"/>
      <c r="M26" s="1308" t="s">
        <v>88</v>
      </c>
      <c r="N26" s="1317">
        <v>320</v>
      </c>
      <c r="Q26" s="1191" t="s">
        <v>1135</v>
      </c>
      <c r="R26" s="1192"/>
      <c r="S26" s="1193">
        <v>12</v>
      </c>
      <c r="U26" t="s">
        <v>1182</v>
      </c>
    </row>
    <row r="27" spans="2:23" ht="15" thickBot="1" x14ac:dyDescent="0.35">
      <c r="B27" s="1"/>
      <c r="C27" s="2"/>
      <c r="D27" s="2"/>
      <c r="E27" s="87" t="s">
        <v>278</v>
      </c>
      <c r="F27" s="71"/>
      <c r="G27" s="71"/>
      <c r="H27" s="2"/>
      <c r="I27" s="2"/>
      <c r="J27" s="2"/>
      <c r="K27" s="389"/>
      <c r="L27" s="514"/>
      <c r="M27" s="391" t="s">
        <v>654</v>
      </c>
      <c r="N27" s="1318">
        <f>N26/60+N25</f>
        <v>137.83333333333334</v>
      </c>
      <c r="Q27" s="1196" t="s">
        <v>1137</v>
      </c>
      <c r="R27" s="1197"/>
      <c r="S27" s="1198">
        <v>3</v>
      </c>
      <c r="U27" t="s">
        <v>1183</v>
      </c>
    </row>
    <row r="28" spans="2:23" ht="15" thickBot="1" x14ac:dyDescent="0.35">
      <c r="B28" s="89" t="s">
        <v>279</v>
      </c>
      <c r="C28" s="2"/>
      <c r="D28" s="2"/>
      <c r="E28" s="89" t="s">
        <v>203</v>
      </c>
      <c r="F28" s="1619" t="s">
        <v>88</v>
      </c>
      <c r="G28" s="1620"/>
      <c r="H28" s="1572" t="s">
        <v>1045</v>
      </c>
      <c r="I28" s="1574"/>
      <c r="J28" s="1573"/>
      <c r="K28" s="93" t="s">
        <v>280</v>
      </c>
      <c r="L28" s="1241"/>
      <c r="M28" s="391" t="s">
        <v>653</v>
      </c>
      <c r="N28" s="1318">
        <f>N26/30+N25</f>
        <v>143.16666666666666</v>
      </c>
      <c r="Q28" s="1199" t="s">
        <v>1021</v>
      </c>
      <c r="R28" s="1200"/>
      <c r="S28" s="1201">
        <v>40</v>
      </c>
      <c r="U28" t="s">
        <v>1136</v>
      </c>
    </row>
    <row r="29" spans="2:23" ht="15" thickBot="1" x14ac:dyDescent="0.35">
      <c r="B29" s="94" t="s">
        <v>281</v>
      </c>
      <c r="C29" s="59"/>
      <c r="D29" s="59"/>
      <c r="E29" s="119">
        <f>N25</f>
        <v>132.5</v>
      </c>
      <c r="F29" s="16">
        <f>N26</f>
        <v>320</v>
      </c>
      <c r="G29" s="16"/>
      <c r="H29" s="1575" t="str">
        <f>VLOOKUP(N25,Данные!AD79:AH1155,5,FALSE)</f>
        <v>72.43773 - 14</v>
      </c>
      <c r="I29" s="1576"/>
      <c r="J29" s="1577"/>
      <c r="K29" s="354"/>
      <c r="L29" s="335"/>
      <c r="M29" s="1319" t="s">
        <v>255</v>
      </c>
      <c r="N29" s="1320">
        <f ca="1">ROUNDUP((N27*N27-N19*N19)*3.1415926*(N20+N21)*N8/4000000,1)</f>
        <v>26.5</v>
      </c>
      <c r="O29" s="136"/>
      <c r="S29" s="1236">
        <f>S24*S25+S26*S27+S28</f>
        <v>376</v>
      </c>
    </row>
    <row r="30" spans="2:23" ht="15" thickBot="1" x14ac:dyDescent="0.35">
      <c r="B30" s="94" t="s">
        <v>282</v>
      </c>
      <c r="C30" s="59"/>
      <c r="D30" s="59"/>
      <c r="E30" s="95">
        <f ca="1">N19</f>
        <v>60</v>
      </c>
      <c r="F30" s="16"/>
      <c r="G30" s="16"/>
      <c r="H30" s="1578" t="str">
        <f ca="1">VLOOKUP(Данные!AO27,Данные!AO4:AP23,2)&amp;" - "&amp;RANDBETWEEN(1,15)</f>
        <v>72.11877 - 5</v>
      </c>
      <c r="I30" s="1579"/>
      <c r="J30" s="1580"/>
      <c r="K30" s="355"/>
      <c r="L30" s="1304"/>
      <c r="M30" s="390" t="s">
        <v>89</v>
      </c>
      <c r="N30" s="136"/>
      <c r="O30" s="136"/>
      <c r="Q30" s="1568" t="s">
        <v>1179</v>
      </c>
      <c r="R30" s="1569"/>
      <c r="S30" s="1333">
        <f>ROUNDUP(S29/0.985+F31,0)</f>
        <v>422</v>
      </c>
    </row>
    <row r="31" spans="2:23" ht="15" thickBot="1" x14ac:dyDescent="0.35">
      <c r="B31" s="94" t="s">
        <v>283</v>
      </c>
      <c r="C31" s="59"/>
      <c r="D31" s="59"/>
      <c r="E31" s="95">
        <f>E29</f>
        <v>132.5</v>
      </c>
      <c r="F31" s="16">
        <v>40</v>
      </c>
      <c r="G31" s="16"/>
      <c r="H31" s="1578" t="str">
        <f>VLOOKUP(E31,Данные!AD79:AL1156,9)</f>
        <v>72.47211 - 184</v>
      </c>
      <c r="I31" s="1579"/>
      <c r="J31" s="1580"/>
      <c r="K31" s="96"/>
      <c r="L31" s="335"/>
      <c r="M31" s="744">
        <f>VLOOKUP(N25,Данные!AD79:AJ1157,7,FALSE)</f>
        <v>0</v>
      </c>
      <c r="N31" s="745"/>
      <c r="O31" s="136"/>
    </row>
    <row r="32" spans="2:23" ht="15" thickBot="1" x14ac:dyDescent="0.35">
      <c r="B32" s="94" t="s">
        <v>284</v>
      </c>
      <c r="C32" s="59"/>
      <c r="D32" s="59"/>
      <c r="E32" s="97"/>
      <c r="F32" s="16">
        <f ca="1">F29+F30-F31-F33</f>
        <v>30</v>
      </c>
      <c r="G32" s="16"/>
      <c r="H32" s="138"/>
      <c r="I32" s="167"/>
      <c r="J32" s="72"/>
      <c r="K32" s="356"/>
      <c r="L32" s="335"/>
      <c r="M32" s="1037"/>
      <c r="N32" s="1037"/>
      <c r="O32" s="136"/>
    </row>
    <row r="33" spans="2:15" x14ac:dyDescent="0.3">
      <c r="B33" s="12"/>
      <c r="C33" s="6" t="s">
        <v>285</v>
      </c>
      <c r="D33" s="71"/>
      <c r="E33" s="59"/>
      <c r="F33" s="98">
        <f ca="1">ROUNDUP(E24/0.985,0)</f>
        <v>250</v>
      </c>
      <c r="G33" s="98"/>
      <c r="H33" s="59"/>
      <c r="I33" s="59"/>
      <c r="J33" s="59"/>
      <c r="K33" s="13"/>
      <c r="L33" s="59"/>
      <c r="M33" s="380" t="s">
        <v>468</v>
      </c>
      <c r="N33" s="380"/>
      <c r="O33" s="136"/>
    </row>
    <row r="34" spans="2:15" ht="15" thickBot="1" x14ac:dyDescent="0.35">
      <c r="B34" s="19"/>
      <c r="C34" s="65"/>
      <c r="D34" s="65"/>
      <c r="E34" s="65"/>
      <c r="F34" s="65"/>
      <c r="G34" s="65"/>
      <c r="H34" s="65"/>
      <c r="I34" s="65"/>
      <c r="J34" s="65"/>
      <c r="K34" s="40"/>
      <c r="L34" s="59"/>
      <c r="M34" s="388" t="s">
        <v>656</v>
      </c>
      <c r="N34" s="43"/>
      <c r="O34" s="136"/>
    </row>
    <row r="35" spans="2:15" x14ac:dyDescent="0.3">
      <c r="B35" s="12"/>
      <c r="C35" s="6" t="str">
        <f>"Плавка по инструкции "&amp;VLOOKUP(F8,Данные!A3:I27,6,FALSE())</f>
        <v>Плавка по инструкции 25010.00172</v>
      </c>
      <c r="D35" s="71"/>
      <c r="E35" s="71"/>
      <c r="F35" s="99"/>
      <c r="G35" s="99"/>
      <c r="H35" s="71"/>
      <c r="I35" s="71"/>
      <c r="J35" s="71"/>
      <c r="K35" s="100"/>
      <c r="L35" s="514"/>
      <c r="M35" s="388" t="s">
        <v>657</v>
      </c>
      <c r="N35" s="43"/>
      <c r="O35" s="136"/>
    </row>
    <row r="36" spans="2:15" ht="15" thickBot="1" x14ac:dyDescent="0.35">
      <c r="B36" s="4"/>
      <c r="C36" s="11" t="s">
        <v>286</v>
      </c>
      <c r="D36" s="59"/>
      <c r="E36" s="59"/>
      <c r="F36" s="17"/>
      <c r="G36" s="17"/>
      <c r="H36" s="59"/>
      <c r="I36" s="59"/>
      <c r="J36" s="59"/>
      <c r="K36" s="18"/>
      <c r="L36" s="514"/>
      <c r="O36" s="136"/>
    </row>
    <row r="37" spans="2:15" x14ac:dyDescent="0.3">
      <c r="B37" s="12"/>
      <c r="C37" s="6" t="s">
        <v>287</v>
      </c>
      <c r="D37" s="71"/>
      <c r="E37" s="71"/>
      <c r="F37" s="101"/>
      <c r="G37" s="101"/>
      <c r="H37" s="71"/>
      <c r="I37" s="71"/>
      <c r="J37" s="71"/>
      <c r="K37" s="13"/>
      <c r="L37" s="59"/>
      <c r="O37" s="136"/>
    </row>
    <row r="38" spans="2:15" x14ac:dyDescent="0.3">
      <c r="B38" s="4"/>
      <c r="C38" s="11" t="s">
        <v>288</v>
      </c>
      <c r="D38" s="59"/>
      <c r="E38" s="59"/>
      <c r="F38" s="17"/>
      <c r="G38" s="17"/>
      <c r="H38" s="59"/>
      <c r="I38" s="59"/>
      <c r="J38" s="59"/>
      <c r="K38" s="10"/>
      <c r="L38" s="59"/>
      <c r="O38" s="136"/>
    </row>
    <row r="39" spans="2:15" x14ac:dyDescent="0.3">
      <c r="B39" s="4"/>
      <c r="C39" s="11" t="s">
        <v>289</v>
      </c>
      <c r="D39" s="59"/>
      <c r="E39" s="59"/>
      <c r="F39" s="17"/>
      <c r="G39" s="17"/>
      <c r="H39" s="59"/>
      <c r="I39" s="59"/>
      <c r="J39" s="59"/>
      <c r="K39" s="10"/>
      <c r="L39" s="59"/>
      <c r="O39" s="136"/>
    </row>
    <row r="40" spans="2:15" ht="15" thickBot="1" x14ac:dyDescent="0.35">
      <c r="B40" s="19"/>
      <c r="C40" s="65"/>
      <c r="D40" s="65"/>
      <c r="E40" s="65"/>
      <c r="F40" s="65"/>
      <c r="G40" s="65"/>
      <c r="H40" s="65"/>
      <c r="I40" s="65"/>
      <c r="J40" s="65"/>
      <c r="K40" s="40"/>
      <c r="L40" s="59"/>
      <c r="M40" s="43"/>
      <c r="N40" s="43"/>
      <c r="O40" s="136"/>
    </row>
    <row r="41" spans="2:15" ht="15" thickBot="1" x14ac:dyDescent="0.35">
      <c r="B41" s="1"/>
      <c r="C41" s="87" t="s">
        <v>290</v>
      </c>
      <c r="D41" s="80"/>
      <c r="E41" s="90" t="s">
        <v>291</v>
      </c>
      <c r="F41" s="1572" t="s">
        <v>292</v>
      </c>
      <c r="G41" s="1573"/>
      <c r="H41" s="90" t="s">
        <v>293</v>
      </c>
      <c r="I41" s="1572" t="s">
        <v>294</v>
      </c>
      <c r="J41" s="1573"/>
      <c r="K41" s="90" t="s">
        <v>293</v>
      </c>
      <c r="L41" s="11"/>
    </row>
    <row r="42" spans="2:15" ht="15" thickBot="1" x14ac:dyDescent="0.35">
      <c r="B42" s="1"/>
      <c r="C42" s="1594">
        <f ca="1">TODAY()</f>
        <v>45428</v>
      </c>
      <c r="D42" s="1595"/>
      <c r="E42" s="74" t="s">
        <v>264</v>
      </c>
      <c r="F42" s="1570" t="s">
        <v>265</v>
      </c>
      <c r="G42" s="1571"/>
      <c r="H42" s="103"/>
      <c r="I42" s="1570"/>
      <c r="J42" s="1571"/>
      <c r="K42" s="103"/>
      <c r="L42" s="59"/>
      <c r="N42" s="43"/>
    </row>
    <row r="43" spans="2:15" ht="15" thickBot="1" x14ac:dyDescent="0.35">
      <c r="B43" s="1"/>
      <c r="C43" s="92" t="s">
        <v>70</v>
      </c>
      <c r="D43" s="80"/>
      <c r="E43" s="74"/>
      <c r="F43" s="1570"/>
      <c r="G43" s="1571"/>
      <c r="H43" s="103"/>
      <c r="I43" s="1570"/>
      <c r="J43" s="1571"/>
      <c r="K43" s="103"/>
      <c r="L43" s="59"/>
      <c r="N43" s="43"/>
    </row>
    <row r="45" spans="2:15" x14ac:dyDescent="0.3">
      <c r="N45" s="431"/>
    </row>
    <row r="46" spans="2:15" hidden="1" x14ac:dyDescent="0.3"/>
    <row r="47" spans="2:15" ht="15.6" hidden="1" x14ac:dyDescent="0.3">
      <c r="C47" s="770" t="s">
        <v>399</v>
      </c>
      <c r="D47" s="771"/>
      <c r="H47" s="43"/>
    </row>
    <row r="48" spans="2:15" hidden="1" x14ac:dyDescent="0.3">
      <c r="B48" s="43"/>
      <c r="C48" s="190"/>
      <c r="D48" s="191"/>
      <c r="E48" s="43"/>
      <c r="F48" s="43"/>
      <c r="H48" s="43"/>
      <c r="I48" s="43"/>
      <c r="J48" s="43"/>
      <c r="K48" s="43"/>
      <c r="M48" s="59"/>
      <c r="N48" s="59"/>
    </row>
    <row r="49" spans="2:14" hidden="1" x14ac:dyDescent="0.3">
      <c r="B49" s="43">
        <f>IF(MAX(C49:C92)&lt;ROW(1:1),"",VLOOKUP(ROW(1:1),C49:D92,2))</f>
        <v>375</v>
      </c>
      <c r="C49" s="192">
        <f>IF(COUNTIF(D$48:D49,D49)=1,MAX(C$48:C48)+1,"")</f>
        <v>1</v>
      </c>
      <c r="D49" s="193">
        <f t="array" ref="D49:D59">IFERROR(INDEX(Данные!$AE$4:$AE$1156,SMALL(IF(Данные!$AD$4:$AD$1156=$N$25,ROW(Данные!$AD$4:$AD$1156)-ROW(Данные!$AD$4)+1),ROW()-ROW($D$49)+1)),"")</f>
        <v>375</v>
      </c>
      <c r="E49" s="43"/>
      <c r="F49" s="43"/>
      <c r="H49" s="43"/>
      <c r="I49" s="43"/>
      <c r="J49" s="43"/>
      <c r="K49" s="43"/>
    </row>
    <row r="50" spans="2:14" hidden="1" x14ac:dyDescent="0.3">
      <c r="B50" s="43">
        <f t="shared" ref="B50:B65" si="6">IF(MAX(C50:C94)&lt;ROW(2:2),"",VLOOKUP(ROW(2:2),C50:D94,2))</f>
        <v>320</v>
      </c>
      <c r="C50" s="192">
        <f t="array" ref="C50">IF(COUNTIF(D$48:D50,D50)=1,MAX(C$48:C49)+1,"")</f>
        <v>2</v>
      </c>
      <c r="D50" s="193">
        <v>320</v>
      </c>
      <c r="E50" s="43"/>
      <c r="F50" s="43"/>
      <c r="H50" s="43"/>
      <c r="I50" s="43"/>
      <c r="J50" s="43"/>
      <c r="K50" s="43"/>
    </row>
    <row r="51" spans="2:14" hidden="1" x14ac:dyDescent="0.3">
      <c r="B51" s="43">
        <f t="shared" si="6"/>
        <v>373</v>
      </c>
      <c r="C51" s="192" t="str">
        <f t="array" ref="C51">IF(COUNTIF(D$48:D51,D51)=1,MAX(C$48:C50)+1,"")</f>
        <v/>
      </c>
      <c r="D51" s="193">
        <v>320</v>
      </c>
      <c r="E51" s="43"/>
      <c r="F51" s="43"/>
      <c r="H51" s="43"/>
      <c r="I51" s="43"/>
      <c r="J51" s="43"/>
      <c r="K51" s="43"/>
    </row>
    <row r="52" spans="2:14" hidden="1" x14ac:dyDescent="0.3">
      <c r="B52" s="43" t="str">
        <f t="shared" si="6"/>
        <v/>
      </c>
      <c r="C52" s="192">
        <f t="array" ref="C52">IF(COUNTIF(D$48:D52,D52)=1,MAX(C$48:C51)+1,"")</f>
        <v>3</v>
      </c>
      <c r="D52" s="193">
        <v>373</v>
      </c>
      <c r="E52" s="43"/>
      <c r="F52" s="43"/>
      <c r="H52" s="43"/>
      <c r="I52" s="43"/>
      <c r="J52" s="43"/>
      <c r="K52" s="43"/>
      <c r="M52" s="43"/>
      <c r="N52" s="43"/>
    </row>
    <row r="53" spans="2:14" hidden="1" x14ac:dyDescent="0.3">
      <c r="B53" s="43" t="str">
        <f t="shared" si="6"/>
        <v/>
      </c>
      <c r="C53" s="192" t="str">
        <f t="array" ref="C53">IF(COUNTIF(D$48:D53,D53)=1,MAX(C$48:C52)+1,"")</f>
        <v/>
      </c>
      <c r="D53" s="193" t="str">
        <v/>
      </c>
      <c r="E53" s="43"/>
      <c r="F53" s="43"/>
      <c r="H53" s="43"/>
      <c r="I53" s="43"/>
      <c r="J53" s="43"/>
      <c r="K53" s="43"/>
      <c r="M53" s="43"/>
      <c r="N53" s="43"/>
    </row>
    <row r="54" spans="2:14" hidden="1" x14ac:dyDescent="0.3">
      <c r="B54" s="43" t="str">
        <f t="shared" si="6"/>
        <v/>
      </c>
      <c r="C54" s="192" t="str">
        <f t="array" ref="C54">IF(COUNTIF(D$48:D54,D54)=1,MAX(C$48:C53)+1,"")</f>
        <v/>
      </c>
      <c r="D54" s="193" t="str">
        <v/>
      </c>
      <c r="E54" s="43"/>
      <c r="F54" s="43"/>
      <c r="H54" s="43"/>
      <c r="I54" s="43"/>
      <c r="J54" s="43"/>
      <c r="K54" s="43"/>
      <c r="M54" s="43"/>
      <c r="N54" s="43"/>
    </row>
    <row r="55" spans="2:14" hidden="1" x14ac:dyDescent="0.3">
      <c r="B55" s="43" t="str">
        <f t="shared" si="6"/>
        <v/>
      </c>
      <c r="C55" s="192" t="str">
        <f t="array" ref="C55">IF(COUNTIF(D$48:D55,D55)=1,MAX(C$48:C54)+1,"")</f>
        <v/>
      </c>
      <c r="D55" s="193" t="str">
        <v/>
      </c>
      <c r="E55" s="43"/>
      <c r="F55" s="43"/>
      <c r="H55" s="43"/>
      <c r="I55" s="43"/>
      <c r="J55" s="43"/>
      <c r="K55" s="43"/>
      <c r="M55" s="43"/>
      <c r="N55" s="43"/>
    </row>
    <row r="56" spans="2:14" hidden="1" x14ac:dyDescent="0.3">
      <c r="B56" s="43" t="str">
        <f t="shared" si="6"/>
        <v/>
      </c>
      <c r="C56" s="192" t="str">
        <f t="array" ref="C56">IF(COUNTIF(D$48:D56,D56)=1,MAX(C$48:C55)+1,"")</f>
        <v/>
      </c>
      <c r="D56" s="193" t="str">
        <v/>
      </c>
      <c r="E56" s="43"/>
      <c r="F56" s="43"/>
      <c r="H56" s="43"/>
      <c r="I56" s="43"/>
      <c r="J56" s="43"/>
      <c r="K56" s="43"/>
      <c r="M56" s="43"/>
      <c r="N56" s="43"/>
    </row>
    <row r="57" spans="2:14" hidden="1" x14ac:dyDescent="0.3">
      <c r="B57" s="43" t="str">
        <f t="shared" si="6"/>
        <v/>
      </c>
      <c r="C57" s="192" t="str">
        <f t="array" ref="C57">IF(COUNTIF(D$48:D57,D57)=1,MAX(C$48:C56)+1,"")</f>
        <v/>
      </c>
      <c r="D57" s="193" t="str">
        <v/>
      </c>
      <c r="E57" s="43"/>
      <c r="F57" s="43"/>
      <c r="H57" s="43"/>
      <c r="I57" s="43"/>
      <c r="J57" s="43"/>
      <c r="K57" s="43"/>
      <c r="M57" s="43"/>
      <c r="N57" s="43"/>
    </row>
    <row r="58" spans="2:14" hidden="1" x14ac:dyDescent="0.3">
      <c r="B58" s="43" t="str">
        <f t="shared" si="6"/>
        <v/>
      </c>
      <c r="C58" s="192" t="str">
        <f t="array" ref="C58">IF(COUNTIF(D$48:D58,D58)=1,MAX(C$48:C57)+1,"")</f>
        <v/>
      </c>
      <c r="D58" s="189" t="str">
        <v/>
      </c>
      <c r="E58" s="43"/>
      <c r="F58" s="43"/>
      <c r="H58" s="43"/>
      <c r="I58" s="43"/>
      <c r="J58" s="43"/>
      <c r="K58" s="43"/>
      <c r="M58" s="43"/>
      <c r="N58" s="43"/>
    </row>
    <row r="59" spans="2:14" hidden="1" x14ac:dyDescent="0.3">
      <c r="B59" s="43" t="str">
        <f t="shared" si="6"/>
        <v/>
      </c>
      <c r="C59" s="192" t="str">
        <f t="array" ref="C59">IF(COUNTIF(D$48:D59,D59)=1,MAX(C$48:C58)+1,"")</f>
        <v/>
      </c>
      <c r="D59" s="189" t="str">
        <v/>
      </c>
      <c r="E59" s="43"/>
      <c r="F59" s="43"/>
      <c r="H59" s="43"/>
      <c r="I59" s="43"/>
      <c r="J59" s="43"/>
      <c r="K59" s="43"/>
      <c r="M59" s="43"/>
      <c r="N59" s="43"/>
    </row>
    <row r="60" spans="2:14" hidden="1" x14ac:dyDescent="0.3">
      <c r="B60" s="43" t="str">
        <f t="shared" si="6"/>
        <v/>
      </c>
      <c r="C60" s="192" t="str">
        <f t="array" ref="C60">IF(COUNTIF(D$48:D60,D60)=1,MAX(C$48:C59)+1,"")</f>
        <v/>
      </c>
      <c r="D60" s="189" t="str">
        <f t="array" ref="D60">IFERROR(INDEX(Данные!$AE$4:$AE$1156,SMALL(IF(Данные!$AD$4:$AD$1156=$N$25,ROW(Данные!$AD$4:$AD$1156)-ROW(Данные!$AD$4)+1),ROW()-ROW($D$49)+1)),"")</f>
        <v/>
      </c>
      <c r="E60" s="43"/>
      <c r="F60" s="43"/>
      <c r="H60" s="43"/>
      <c r="I60" s="43"/>
      <c r="J60" s="43"/>
      <c r="K60" s="43"/>
      <c r="M60" s="43"/>
      <c r="N60" s="43"/>
    </row>
    <row r="61" spans="2:14" hidden="1" x14ac:dyDescent="0.3">
      <c r="B61" s="43" t="str">
        <f t="shared" si="6"/>
        <v/>
      </c>
      <c r="C61" s="192" t="str">
        <f t="array" ref="C61">IF(COUNTIF(D$48:D61,D61)=1,MAX(C$48:C60)+1,"")</f>
        <v/>
      </c>
      <c r="D61" s="189" t="str">
        <f t="array" ref="D61">IFERROR(INDEX(Данные!$AE$4:$AE$1156,SMALL(IF(Данные!$AD$4:$AD$1156=$N$25,ROW(Данные!$AD$4:$AD$1156)-ROW(Данные!$AD$4)+1),ROW()-ROW($D$49)+1)),"")</f>
        <v/>
      </c>
      <c r="E61" s="43"/>
      <c r="F61" s="43"/>
      <c r="H61" s="43"/>
      <c r="I61" s="43"/>
      <c r="J61" s="43"/>
      <c r="K61" s="43"/>
      <c r="M61" s="43"/>
      <c r="N61" s="43"/>
    </row>
    <row r="62" spans="2:14" hidden="1" x14ac:dyDescent="0.3">
      <c r="B62" s="43" t="str">
        <f t="shared" si="6"/>
        <v/>
      </c>
      <c r="C62" s="192" t="str">
        <f t="array" ref="C62">IF(COUNTIF(D$48:D62,D62)=1,MAX(C$48:C61)+1,"")</f>
        <v/>
      </c>
      <c r="D62" s="189" t="str">
        <f t="array" ref="D62">IFERROR(INDEX(Данные!$AE$4:$AE$1156,SMALL(IF(Данные!$AD$4:$AD$1156=$N$25,ROW(Данные!$AD$4:$AD$1156)-ROW(Данные!$AD$4)+1),ROW()-ROW($D$49)+1)),"")</f>
        <v/>
      </c>
      <c r="E62" s="43"/>
      <c r="F62" s="43"/>
      <c r="H62" s="43"/>
      <c r="I62" s="43"/>
      <c r="J62" s="43"/>
      <c r="K62" s="43"/>
      <c r="M62" s="43"/>
      <c r="N62" s="43"/>
    </row>
    <row r="63" spans="2:14" hidden="1" x14ac:dyDescent="0.3">
      <c r="B63" s="43" t="str">
        <f t="shared" si="6"/>
        <v/>
      </c>
      <c r="C63" s="192" t="str">
        <f t="array" ref="C63">IF(COUNTIF(D$48:D63,D63)=1,MAX(C$48:C62)+1,"")</f>
        <v/>
      </c>
      <c r="D63" s="189" t="str">
        <f t="array" ref="D63">IFERROR(INDEX(Данные!$AE$4:$AE$1156,SMALL(IF(Данные!$AD$4:$AD$1156=$N$25,ROW(Данные!$AD$4:$AD$1156)-ROW(Данные!$AD$4)+1),ROW()-ROW($D$49)+1)),"")</f>
        <v/>
      </c>
      <c r="E63" s="43"/>
      <c r="F63" s="43"/>
      <c r="H63" s="43"/>
      <c r="I63" s="43"/>
      <c r="J63" s="43"/>
      <c r="K63" s="43"/>
      <c r="M63" s="43"/>
      <c r="N63" s="43"/>
    </row>
    <row r="64" spans="2:14" hidden="1" x14ac:dyDescent="0.3">
      <c r="B64" s="43" t="str">
        <f t="shared" si="6"/>
        <v/>
      </c>
      <c r="C64" s="192" t="str">
        <f t="array" ref="C64">IF(COUNTIF(D$48:D64,D64)=1,MAX(C$48:C63)+1,"")</f>
        <v/>
      </c>
      <c r="D64" s="189" t="str">
        <f t="array" ref="D64">IFERROR(INDEX(Данные!$AE$4:$AE$1156,SMALL(IF(Данные!$AD$4:$AD$1156=$N$25,ROW(Данные!$AD$4:$AD$1156)-ROW(Данные!$AD$4)+1),ROW()-ROW($D$49)+1)),"")</f>
        <v/>
      </c>
      <c r="E64" s="43"/>
      <c r="F64" s="43"/>
      <c r="H64" s="43"/>
      <c r="I64" s="43"/>
      <c r="J64" s="43"/>
      <c r="K64" s="43"/>
      <c r="M64" s="43"/>
      <c r="N64" s="43"/>
    </row>
    <row r="65" spans="2:14" hidden="1" x14ac:dyDescent="0.3">
      <c r="B65" s="43" t="str">
        <f t="shared" si="6"/>
        <v/>
      </c>
      <c r="C65" s="192" t="str">
        <f t="array" ref="C65">IF(COUNTIF(D$48:D65,D65)=1,MAX(C$48:C64)+1,"")</f>
        <v/>
      </c>
      <c r="D65" s="189" t="str">
        <f t="array" ref="D65">IFERROR(INDEX(Данные!$AE$4:$AE$1156,SMALL(IF(Данные!$AD$4:$AD$1156=$N$25,ROW(Данные!$AD$4:$AD$1156)-ROW(Данные!$AD$4)+1),ROW()-ROW($D$49)+1)),"")</f>
        <v/>
      </c>
      <c r="E65" s="43"/>
      <c r="F65" s="43"/>
      <c r="H65" s="43"/>
      <c r="I65" s="43"/>
      <c r="J65" s="43"/>
      <c r="K65" s="43"/>
      <c r="M65" s="43"/>
      <c r="N65" s="43"/>
    </row>
    <row r="66" spans="2:14" hidden="1" x14ac:dyDescent="0.3">
      <c r="B66" s="43" t="str">
        <f>IF(MAX(C66:C109)&lt;ROW(18:18),"",VLOOKUP(ROW(18:18),C66:D109,2))</f>
        <v/>
      </c>
      <c r="C66" s="192" t="str">
        <f t="array" ref="C66">IF(COUNTIF(D$48:D66,D66)=1,MAX(C$48:C65)+1,"")</f>
        <v/>
      </c>
      <c r="D66" s="189" t="str">
        <f t="array" ref="D66">IFERROR(INDEX(Данные!$AE$4:$AE$1156,SMALL(IF(Данные!$AD$4:$AD$1156=$N$25,ROW(Данные!$AD$4:$AD$1156)-ROW(Данные!$AD$4)+1),ROW()-ROW($D$49)+1)),"")</f>
        <v/>
      </c>
      <c r="E66" s="43"/>
      <c r="F66" s="43"/>
      <c r="H66" s="43"/>
      <c r="I66" s="43"/>
      <c r="J66" s="43"/>
      <c r="K66" s="43"/>
      <c r="M66" s="43"/>
      <c r="N66" s="43"/>
    </row>
    <row r="67" spans="2:14" hidden="1" x14ac:dyDescent="0.3">
      <c r="B67" s="43" t="str">
        <f>IF(MAX(C67:C109)&lt;ROW(19:19),"",VLOOKUP(ROW(19:19),C67:D109,2))</f>
        <v/>
      </c>
      <c r="C67" s="192" t="str">
        <f t="array" ref="C67">IF(COUNTIF(D$48:D67,D67)=1,MAX(C$48:C66)+1,"")</f>
        <v/>
      </c>
      <c r="D67" s="189" t="str">
        <f t="array" ref="D67">IFERROR(INDEX(Данные!$AE$4:$AE$1156,SMALL(IF(Данные!$AD$4:$AD$1156=$N$25,ROW(Данные!$AD$4:$AD$1156)-ROW(Данные!$AD$4)+1),ROW()-ROW($D$49)+1)),"")</f>
        <v/>
      </c>
      <c r="E67" s="43"/>
      <c r="F67" s="43"/>
      <c r="H67" s="43"/>
      <c r="I67" s="43"/>
      <c r="J67" s="43"/>
      <c r="K67" s="43"/>
      <c r="M67" s="43"/>
      <c r="N67" s="43"/>
    </row>
    <row r="68" spans="2:14" hidden="1" x14ac:dyDescent="0.3">
      <c r="B68" s="43" t="str">
        <f>IF(MAX(C68:C109)&lt;ROW(20:20),"",VLOOKUP(ROW(20:20),C68:D109,2))</f>
        <v/>
      </c>
      <c r="C68" s="192" t="str">
        <f t="array" ref="C68">IF(COUNTIF(D$48:D68,D68)=1,MAX(C$48:C67)+1,"")</f>
        <v/>
      </c>
      <c r="D68" s="189" t="str">
        <f t="array" ref="D68">IFERROR(INDEX(Данные!$AE$4:$AE$1156,SMALL(IF(Данные!$AD$4:$AD$1156=$N$25,ROW(Данные!$AD$4:$AD$1156)-ROW(Данные!$AD$4)+1),ROW()-ROW($D$49)+1)),"")</f>
        <v/>
      </c>
      <c r="E68" s="43"/>
      <c r="F68" s="43"/>
      <c r="H68" s="43"/>
      <c r="I68" s="43"/>
      <c r="J68" s="43"/>
      <c r="K68" s="43"/>
      <c r="M68" s="43"/>
      <c r="N68" s="43"/>
    </row>
    <row r="69" spans="2:14" hidden="1" x14ac:dyDescent="0.3">
      <c r="B69" s="43" t="str">
        <f>IF(MAX(C69:C109)&lt;ROW(21:21),"",VLOOKUP(ROW(21:21),C69:D109,2))</f>
        <v/>
      </c>
      <c r="C69" s="192" t="str">
        <f t="array" ref="C69">IF(COUNTIF(D$48:D69,D69)=1,MAX(C$48:C68)+1,"")</f>
        <v/>
      </c>
      <c r="D69" s="189" t="str">
        <f t="array" ref="D69">IFERROR(INDEX(Данные!$AE$4:$AE$1156,SMALL(IF(Данные!$AD$4:$AD$1156=$N$25,ROW(Данные!$AD$4:$AD$1156)-ROW(Данные!$AD$4)+1),ROW()-ROW($D$49)+1)),"")</f>
        <v/>
      </c>
      <c r="E69" s="43"/>
      <c r="F69" s="43"/>
      <c r="H69" s="43"/>
      <c r="I69" s="43"/>
      <c r="J69" s="43"/>
      <c r="K69" s="43"/>
      <c r="M69" s="43"/>
      <c r="N69" s="43"/>
    </row>
    <row r="70" spans="2:14" hidden="1" x14ac:dyDescent="0.3">
      <c r="B70" s="43" t="str">
        <f>IF(MAX(C70:C109)&lt;ROW(22:22),"",VLOOKUP(ROW(22:22),C70:D109,2))</f>
        <v/>
      </c>
      <c r="C70" s="192" t="str">
        <f t="array" ref="C70">IF(COUNTIF(D$48:D70,D70)=1,MAX(C$48:C69)+1,"")</f>
        <v/>
      </c>
      <c r="D70" s="189" t="str">
        <f t="array" ref="D70">IFERROR(INDEX(Данные!$AE$4:$AE$1156,SMALL(IF(Данные!$AD$4:$AD$1156=$N$25,ROW(Данные!$AD$4:$AD$1156)-ROW(Данные!$AD$4)+1),ROW()-ROW($D$49)+1)),"")</f>
        <v/>
      </c>
      <c r="E70" s="43"/>
      <c r="F70" s="43"/>
      <c r="H70" s="43"/>
      <c r="I70" s="43"/>
      <c r="J70" s="43"/>
      <c r="K70" s="43"/>
      <c r="M70" s="43"/>
      <c r="N70" s="43"/>
    </row>
    <row r="71" spans="2:14" hidden="1" x14ac:dyDescent="0.3">
      <c r="B71" s="43" t="str">
        <f>IF(MAX(C71:C109)&lt;ROW(23:23),"",VLOOKUP(ROW(23:23),C71:D109,2))</f>
        <v/>
      </c>
      <c r="C71" s="192" t="str">
        <f t="array" ref="C71">IF(COUNTIF(D$48:D71,D71)=1,MAX(C$48:C70)+1,"")</f>
        <v/>
      </c>
      <c r="D71" s="189" t="str">
        <f t="array" ref="D71">IFERROR(INDEX(Данные!$AE$4:$AE$1156,SMALL(IF(Данные!$AD$4:$AD$1156=$N$25,ROW(Данные!$AD$4:$AD$1156)-ROW(Данные!$AD$4)+1),ROW()-ROW($D$49)+1)),"")</f>
        <v/>
      </c>
      <c r="E71" s="43"/>
      <c r="F71" s="43"/>
      <c r="H71" s="43"/>
      <c r="I71" s="43"/>
      <c r="J71" s="43"/>
      <c r="K71" s="43"/>
      <c r="M71" s="43"/>
      <c r="N71" s="43"/>
    </row>
    <row r="72" spans="2:14" hidden="1" x14ac:dyDescent="0.3">
      <c r="B72" s="43" t="str">
        <f>IF(MAX(C72:C109)&lt;ROW(24:24),"",VLOOKUP(ROW(24:24),C72:D109,2))</f>
        <v/>
      </c>
      <c r="C72" s="192" t="str">
        <f t="array" ref="C72">IF(COUNTIF(D$48:D72,D72)=1,MAX(C$48:C71)+1,"")</f>
        <v/>
      </c>
      <c r="D72" s="189" t="str">
        <f t="array" ref="D72">IFERROR(INDEX(Данные!$AE$4:$AE$1156,SMALL(IF(Данные!$AD$4:$AD$1156=$N$25,ROW(Данные!$AD$4:$AD$1156)-ROW(Данные!$AD$4)+1),ROW()-ROW($D$49)+1)),"")</f>
        <v/>
      </c>
      <c r="E72" s="43"/>
      <c r="F72" s="43"/>
      <c r="H72" s="43"/>
      <c r="I72" s="43"/>
      <c r="J72" s="43"/>
      <c r="K72" s="43"/>
      <c r="M72" s="43"/>
      <c r="N72" s="43"/>
    </row>
    <row r="73" spans="2:14" hidden="1" x14ac:dyDescent="0.3">
      <c r="B73" s="43" t="str">
        <f>IF(MAX(C73:C109)&lt;ROW(25:25),"",VLOOKUP(ROW(25:25),C73:D109,2))</f>
        <v/>
      </c>
      <c r="C73" s="192" t="str">
        <f t="array" ref="C73">IF(COUNTIF(D$48:D73,D73)=1,MAX(C$48:C72)+1,"")</f>
        <v/>
      </c>
      <c r="D73" s="189" t="str">
        <f t="array" ref="D73">IFERROR(INDEX(Данные!$AE$4:$AE$1156,SMALL(IF(Данные!$AD$4:$AD$1156=$N$25,ROW(Данные!$AD$4:$AD$1156)-ROW(Данные!$AD$4)+1),ROW()-ROW($D$49)+1)),"")</f>
        <v/>
      </c>
      <c r="E73" s="43"/>
      <c r="F73" s="43"/>
      <c r="H73" s="43"/>
      <c r="I73" s="43"/>
      <c r="J73" s="43"/>
      <c r="K73" s="43"/>
      <c r="M73" s="43"/>
      <c r="N73" s="43"/>
    </row>
    <row r="74" spans="2:14" hidden="1" x14ac:dyDescent="0.3">
      <c r="B74" s="43" t="str">
        <f>IF(MAX(C74:C109)&lt;ROW(26:26),"",VLOOKUP(ROW(26:26),C74:D109,2))</f>
        <v/>
      </c>
      <c r="C74" s="192" t="str">
        <f t="array" ref="C74">IF(COUNTIF(D$48:D74,D74)=1,MAX(C$48:C73)+1,"")</f>
        <v/>
      </c>
      <c r="D74" s="189" t="str">
        <f t="array" ref="D74">IFERROR(INDEX(Данные!$AE$4:$AE$1156,SMALL(IF(Данные!$AD$4:$AD$1156=$N$25,ROW(Данные!$AD$4:$AD$1156)-ROW(Данные!$AD$4)+1),ROW()-ROW($D$49)+1)),"")</f>
        <v/>
      </c>
      <c r="E74" s="43"/>
      <c r="F74" s="43"/>
      <c r="H74" s="43"/>
      <c r="I74" s="43"/>
      <c r="J74" s="43"/>
      <c r="K74" s="43"/>
      <c r="M74" s="43"/>
      <c r="N74" s="43"/>
    </row>
    <row r="75" spans="2:14" hidden="1" x14ac:dyDescent="0.3">
      <c r="B75" s="43" t="str">
        <f>IF(MAX(C75:C109)&lt;ROW(27:27),"",VLOOKUP(ROW(27:27),C75:D109,2))</f>
        <v/>
      </c>
      <c r="C75" s="192" t="str">
        <f t="array" ref="C75">IF(COUNTIF(D$48:D75,D75)=1,MAX(C$48:C74)+1,"")</f>
        <v/>
      </c>
      <c r="D75" s="189" t="str">
        <f t="array" ref="D75">IFERROR(INDEX(Данные!$AE$4:$AE$1156,SMALL(IF(Данные!$AD$4:$AD$1156=$N$25,ROW(Данные!$AD$4:$AD$1156)-ROW(Данные!$AD$4)+1),ROW()-ROW($D$49)+1)),"")</f>
        <v/>
      </c>
      <c r="E75" s="43"/>
      <c r="F75" s="43"/>
      <c r="H75" s="43"/>
      <c r="I75" s="43"/>
      <c r="J75" s="43"/>
      <c r="K75" s="43"/>
      <c r="M75" s="43"/>
      <c r="N75" s="43"/>
    </row>
    <row r="76" spans="2:14" hidden="1" x14ac:dyDescent="0.3">
      <c r="B76" s="43" t="str">
        <f>IF(MAX(C76:C109)&lt;ROW(28:28),"",VLOOKUP(ROW(28:28),C76:D109,2))</f>
        <v/>
      </c>
      <c r="C76" s="192" t="str">
        <f t="array" ref="C76">IF(COUNTIF(D$48:D76,D76)=1,MAX(C$48:C75)+1,"")</f>
        <v/>
      </c>
      <c r="D76" s="189" t="str">
        <f t="array" ref="D76">IFERROR(INDEX(Данные!$AE$4:$AE$1156,SMALL(IF(Данные!$AD$4:$AD$1156=$N$25,ROW(Данные!$AD$4:$AD$1156)-ROW(Данные!$AD$4)+1),ROW()-ROW($D$49)+1)),"")</f>
        <v/>
      </c>
      <c r="E76" s="43"/>
      <c r="F76" s="43"/>
      <c r="H76" s="43"/>
      <c r="I76" s="43"/>
      <c r="J76" s="43"/>
      <c r="K76" s="43"/>
      <c r="M76" s="43"/>
      <c r="N76" s="43"/>
    </row>
    <row r="77" spans="2:14" hidden="1" x14ac:dyDescent="0.3">
      <c r="B77" s="43" t="str">
        <f>IF(MAX(C77:C109)&lt;ROW(29:29),"",VLOOKUP(ROW(29:29),C77:D109,2))</f>
        <v/>
      </c>
      <c r="C77" s="192" t="str">
        <f t="array" ref="C77">IF(COUNTIF(D$48:D77,D77)=1,MAX(C$48:C76)+1,"")</f>
        <v/>
      </c>
      <c r="D77" s="189" t="str">
        <f t="array" ref="D77">IFERROR(INDEX(Данные!$AE$4:$AE$1156,SMALL(IF(Данные!$AD$4:$AD$1156=$N$25,ROW(Данные!$AD$4:$AD$1156)-ROW(Данные!$AD$4)+1),ROW()-ROW($D$49)+1)),"")</f>
        <v/>
      </c>
      <c r="E77" s="43"/>
      <c r="F77" s="43"/>
      <c r="H77" s="43"/>
      <c r="I77" s="43"/>
      <c r="J77" s="43"/>
      <c r="K77" s="43"/>
      <c r="M77" s="43"/>
      <c r="N77" s="43"/>
    </row>
    <row r="78" spans="2:14" hidden="1" x14ac:dyDescent="0.3">
      <c r="B78" s="43" t="str">
        <f>IF(MAX(C78:C109)&lt;ROW(30:30),"",VLOOKUP(ROW(30:30),C78:D109,2))</f>
        <v/>
      </c>
      <c r="C78" s="192" t="str">
        <f t="array" ref="C78">IF(COUNTIF(D$48:D78,D78)=1,MAX(C$48:C77)+1,"")</f>
        <v/>
      </c>
      <c r="D78" s="189" t="str">
        <f t="array" ref="D78">IFERROR(INDEX(Данные!$AE$4:$AE$1156,SMALL(IF(Данные!$AD$4:$AD$1156=$N$25,ROW(Данные!$AD$4:$AD$1156)-ROW(Данные!$AD$4)+1),ROW()-ROW($D$49)+1)),"")</f>
        <v/>
      </c>
      <c r="E78" s="43"/>
      <c r="F78" s="43"/>
      <c r="H78" s="43"/>
      <c r="I78" s="43"/>
      <c r="J78" s="43"/>
      <c r="K78" s="43"/>
      <c r="M78" s="43"/>
      <c r="N78" s="43"/>
    </row>
    <row r="79" spans="2:14" hidden="1" x14ac:dyDescent="0.3">
      <c r="B79" s="43" t="str">
        <f>IF(MAX(C79:C109)&lt;ROW(31:31),"",VLOOKUP(ROW(31:31),C79:D109,2))</f>
        <v/>
      </c>
      <c r="C79" s="192" t="str">
        <f t="array" ref="C79">IF(COUNTIF(D$48:D79,D79)=1,MAX(C$48:C78)+1,"")</f>
        <v/>
      </c>
      <c r="D79" s="189" t="str">
        <f t="array" ref="D79">IFERROR(INDEX(Данные!$AE$4:$AE$1156,SMALL(IF(Данные!$AD$4:$AD$1156=$N$25,ROW(Данные!$AD$4:$AD$1156)-ROW(Данные!$AD$4)+1),ROW()-ROW($D$49)+1)),"")</f>
        <v/>
      </c>
      <c r="E79" s="43"/>
      <c r="F79" s="43"/>
      <c r="H79" s="43"/>
      <c r="I79" s="43"/>
      <c r="J79" s="43"/>
      <c r="K79" s="43"/>
      <c r="M79" s="43"/>
      <c r="N79" s="43"/>
    </row>
    <row r="80" spans="2:14" hidden="1" x14ac:dyDescent="0.3">
      <c r="B80" s="43" t="str">
        <f>IF(MAX(C80:C109)&lt;ROW(32:32),"",VLOOKUP(ROW(32:32),C80:D109,2))</f>
        <v/>
      </c>
      <c r="C80" s="192" t="str">
        <f t="array" ref="C80">IF(COUNTIF(D$48:D80,D80)=1,MAX(C$48:C79)+1,"")</f>
        <v/>
      </c>
      <c r="D80" s="189" t="str">
        <f t="array" ref="D80">IFERROR(INDEX(Данные!$AE$4:$AE$1156,SMALL(IF(Данные!$AD$4:$AD$1156=$N$25,ROW(Данные!$AD$4:$AD$1156)-ROW(Данные!$AD$4)+1),ROW()-ROW($D$49)+1)),"")</f>
        <v/>
      </c>
      <c r="E80" s="43"/>
      <c r="F80" s="43"/>
      <c r="H80" s="43"/>
      <c r="I80" s="43"/>
      <c r="J80" s="43"/>
      <c r="K80" s="43"/>
      <c r="M80" s="43"/>
      <c r="N80" s="43"/>
    </row>
    <row r="81" spans="2:19" hidden="1" x14ac:dyDescent="0.3">
      <c r="B81" s="43" t="str">
        <f>IF(MAX(C81:C109)&lt;ROW(33:33),"",VLOOKUP(ROW(33:33),C81:D109,2))</f>
        <v/>
      </c>
      <c r="C81" s="192" t="str">
        <f t="array" ref="C81">IF(COUNTIF(D$48:D81,D81)=1,MAX(C$48:C80)+1,"")</f>
        <v/>
      </c>
      <c r="D81" s="189" t="str">
        <f t="array" ref="D81">IFERROR(INDEX(Данные!$AE$4:$AE$1156,SMALL(IF(Данные!$AD$4:$AD$1156=$N$25,ROW(Данные!$AD$4:$AD$1156)-ROW(Данные!$AD$4)+1),ROW()-ROW($D$49)+1)),"")</f>
        <v/>
      </c>
      <c r="E81" s="43"/>
      <c r="F81" s="43"/>
      <c r="H81" s="43"/>
      <c r="I81" s="43"/>
      <c r="J81" s="43"/>
      <c r="K81" s="43"/>
      <c r="M81" s="43"/>
      <c r="N81" s="43"/>
    </row>
    <row r="82" spans="2:19" hidden="1" x14ac:dyDescent="0.3">
      <c r="B82" s="43" t="str">
        <f>IF(MAX(C82:C109)&lt;ROW(34:34),"",VLOOKUP(ROW(34:34),C82:D109,2))</f>
        <v/>
      </c>
      <c r="C82" s="192" t="str">
        <f t="array" ref="C82">IF(COUNTIF(D$48:D82,D82)=1,MAX(C$48:C81)+1,"")</f>
        <v/>
      </c>
      <c r="D82" s="189" t="str">
        <f t="array" ref="D82">IFERROR(INDEX(Данные!$AE$4:$AE$1156,SMALL(IF(Данные!$AD$4:$AD$1156=$N$25,ROW(Данные!$AD$4:$AD$1156)-ROW(Данные!$AD$4)+1),ROW()-ROW($D$49)+1)),"")</f>
        <v/>
      </c>
      <c r="E82" s="43"/>
      <c r="F82" s="43"/>
      <c r="H82" s="43"/>
      <c r="I82" s="43"/>
      <c r="J82" s="43"/>
      <c r="K82" s="43"/>
      <c r="M82" s="43"/>
      <c r="N82" s="43"/>
    </row>
    <row r="83" spans="2:19" hidden="1" x14ac:dyDescent="0.3">
      <c r="B83" s="43" t="str">
        <f>IF(MAX(C83:C109)&lt;ROW(35:35),"",VLOOKUP(ROW(35:35),C83:D109,2))</f>
        <v/>
      </c>
      <c r="C83" s="192" t="str">
        <f t="array" ref="C83">IF(COUNTIF(D$48:D83,D83)=1,MAX(C$48:C82)+1,"")</f>
        <v/>
      </c>
      <c r="D83" s="189" t="str">
        <f t="array" ref="D83">IFERROR(INDEX(Данные!$AE$4:$AE$1156,SMALL(IF(Данные!$AD$4:$AD$1156=$N$25,ROW(Данные!$AD$4:$AD$1156)-ROW(Данные!$AD$4)+1),ROW()-ROW($D$49)+1)),"")</f>
        <v/>
      </c>
      <c r="E83" s="43"/>
      <c r="F83" s="43"/>
      <c r="H83" s="43"/>
      <c r="I83" s="43"/>
      <c r="J83" s="43"/>
      <c r="K83" s="43"/>
      <c r="M83" s="43"/>
      <c r="N83" s="43"/>
    </row>
    <row r="84" spans="2:19" hidden="1" x14ac:dyDescent="0.3">
      <c r="B84" s="43" t="str">
        <f>IF(MAX(C84:C109)&lt;ROW(36:36),"",VLOOKUP(ROW(36:36),C84:D109,2))</f>
        <v/>
      </c>
      <c r="C84" s="192" t="str">
        <f t="array" ref="C84">IF(COUNTIF(D$48:D84,D84)=1,MAX(C$48:C83)+1,"")</f>
        <v/>
      </c>
      <c r="D84" s="189" t="str">
        <f t="array" ref="D84">IFERROR(INDEX(Данные!$AE$4:$AE$1156,SMALL(IF(Данные!$AD$4:$AD$1156=$N$25,ROW(Данные!$AD$4:$AD$1156)-ROW(Данные!$AD$4)+1),ROW()-ROW($D$49)+1)),"")</f>
        <v/>
      </c>
      <c r="E84" s="43"/>
      <c r="F84" s="43"/>
      <c r="H84" s="43"/>
      <c r="I84" s="43"/>
      <c r="J84" s="43"/>
      <c r="K84" s="43"/>
      <c r="M84" s="43"/>
      <c r="N84" s="43"/>
    </row>
    <row r="85" spans="2:19" hidden="1" x14ac:dyDescent="0.3">
      <c r="B85" s="43" t="str">
        <f>IF(MAX(C85:C109)&lt;ROW(37:37),"",VLOOKUP(ROW(37:37),C85:D109,2))</f>
        <v/>
      </c>
      <c r="C85" s="192" t="str">
        <f t="array" ref="C85">IF(COUNTIF(D$48:D85,D85)=1,MAX(C$48:C84)+1,"")</f>
        <v/>
      </c>
      <c r="D85" s="189" t="str">
        <f t="array" ref="D85">IFERROR(INDEX(Данные!$AE$4:$AE$1156,SMALL(IF(Данные!$AD$4:$AD$1156=$N$25,ROW(Данные!$AD$4:$AD$1156)-ROW(Данные!$AD$4)+1),ROW()-ROW($D$49)+1)),"")</f>
        <v/>
      </c>
      <c r="E85" s="43"/>
      <c r="F85" s="43"/>
      <c r="H85" s="43"/>
      <c r="I85" s="43"/>
      <c r="J85" s="43"/>
      <c r="K85" s="43"/>
      <c r="M85" s="43"/>
      <c r="N85" s="43"/>
    </row>
    <row r="86" spans="2:19" hidden="1" x14ac:dyDescent="0.3">
      <c r="B86" s="43" t="str">
        <f>IF(MAX(C86:C109)&lt;ROW(38:38),"",VLOOKUP(ROW(38:38),C86:D109,2))</f>
        <v/>
      </c>
      <c r="C86" s="192" t="str">
        <f t="array" ref="C86">IF(COUNTIF(D$48:D86,D86)=1,MAX(C$48:C85)+1,"")</f>
        <v/>
      </c>
      <c r="D86" s="189" t="str">
        <f t="array" ref="D86">IFERROR(INDEX(Данные!$AE$4:$AE$1156,SMALL(IF(Данные!$AD$4:$AD$1156=$N$25,ROW(Данные!$AD$4:$AD$1156)-ROW(Данные!$AD$4)+1),ROW()-ROW($D$49)+1)),"")</f>
        <v/>
      </c>
      <c r="E86" s="43"/>
      <c r="F86" s="43"/>
      <c r="H86" s="43"/>
      <c r="I86" s="43"/>
      <c r="J86" s="43"/>
      <c r="K86" s="43"/>
      <c r="M86" s="43"/>
      <c r="N86" s="43"/>
    </row>
    <row r="87" spans="2:19" hidden="1" x14ac:dyDescent="0.3">
      <c r="B87" s="43" t="str">
        <f>IF(MAX(C87:C109)&lt;ROW(39:39),"",VLOOKUP(ROW(39:39),C87:D109,2))</f>
        <v/>
      </c>
      <c r="C87" s="192" t="str">
        <f t="array" ref="C87">IF(COUNTIF(D$48:D87,D87)=1,MAX(C$48:C86)+1,"")</f>
        <v/>
      </c>
      <c r="D87" s="189" t="str">
        <f t="array" ref="D87">IFERROR(INDEX(Данные!$AE$4:$AE$1156,SMALL(IF(Данные!$AD$4:$AD$1156=$N$25,ROW(Данные!$AD$4:$AD$1156)-ROW(Данные!$AD$4)+1),ROW()-ROW($D$49)+1)),"")</f>
        <v/>
      </c>
      <c r="E87" s="43"/>
      <c r="F87" s="43"/>
      <c r="H87" s="43"/>
      <c r="I87" s="43"/>
      <c r="J87" s="43"/>
      <c r="K87" s="43"/>
      <c r="M87" s="43"/>
      <c r="N87" s="43"/>
    </row>
    <row r="88" spans="2:19" hidden="1" x14ac:dyDescent="0.3">
      <c r="B88" s="43" t="str">
        <f>IF(MAX(C88:C109)&lt;ROW(40:40),"",VLOOKUP(ROW(40:40),C88:D109,2))</f>
        <v/>
      </c>
      <c r="C88" s="192" t="str">
        <f t="array" ref="C88">IF(COUNTIF(D$48:D88,D88)=1,MAX(C$48:C87)+1,"")</f>
        <v/>
      </c>
      <c r="D88" s="189" t="str">
        <f t="array" ref="D88">IFERROR(INDEX(Данные!$AE$4:$AE$1156,SMALL(IF(Данные!$AD$4:$AD$1156=$N$25,ROW(Данные!$AD$4:$AD$1156)-ROW(Данные!$AD$4)+1),ROW()-ROW($D$49)+1)),"")</f>
        <v/>
      </c>
      <c r="E88" s="43"/>
      <c r="F88" s="43"/>
      <c r="H88" s="43"/>
      <c r="I88" s="43"/>
      <c r="J88" s="43"/>
      <c r="K88" s="43"/>
      <c r="M88" s="43"/>
      <c r="N88" s="43"/>
    </row>
    <row r="89" spans="2:19" hidden="1" x14ac:dyDescent="0.3">
      <c r="B89" s="43" t="str">
        <f>IF(MAX(C89:C109)&lt;ROW(41:41),"",VLOOKUP(ROW(41:41),C89:D109,2))</f>
        <v/>
      </c>
      <c r="C89" s="192" t="str">
        <f t="array" ref="C89">IF(COUNTIF(D$48:D89,D89)=1,MAX(C$48:C88)+1,"")</f>
        <v/>
      </c>
      <c r="D89" s="189" t="str">
        <f t="array" ref="D89">IFERROR(INDEX(Данные!$AE$4:$AE$1156,SMALL(IF(Данные!$AD$4:$AD$1156=$N$25,ROW(Данные!$AD$4:$AD$1156)-ROW(Данные!$AD$4)+1),ROW()-ROW($D$49)+1)),"")</f>
        <v/>
      </c>
      <c r="E89" s="43"/>
      <c r="F89" s="43"/>
      <c r="H89" s="43"/>
      <c r="I89" s="43"/>
      <c r="J89" s="43"/>
      <c r="K89" s="43"/>
      <c r="M89" s="43"/>
      <c r="N89" s="43"/>
    </row>
    <row r="90" spans="2:19" hidden="1" x14ac:dyDescent="0.3">
      <c r="B90" s="43" t="str">
        <f>IF(MAX(C90:C109)&lt;ROW(42:42),"",VLOOKUP(ROW(42:42),C90:D109,2))</f>
        <v/>
      </c>
      <c r="C90" s="192" t="str">
        <f t="array" ref="C90">IF(COUNTIF(D$48:D90,D90)=1,MAX(C$48:C89)+1,"")</f>
        <v/>
      </c>
      <c r="D90" s="189" t="str">
        <f t="array" ref="D90">IFERROR(INDEX(Данные!$AE$4:$AE$1156,SMALL(IF(Данные!$AD$4:$AD$1156=$N$25,ROW(Данные!$AD$4:$AD$1156)-ROW(Данные!$AD$4)+1),ROW()-ROW($D$49)+1)),"")</f>
        <v/>
      </c>
      <c r="E90" s="43"/>
      <c r="F90" s="43"/>
      <c r="H90" s="43"/>
      <c r="I90" s="43"/>
      <c r="J90" s="43"/>
      <c r="K90" s="43"/>
      <c r="M90" s="43"/>
      <c r="N90" s="43"/>
    </row>
    <row r="91" spans="2:19" hidden="1" x14ac:dyDescent="0.3">
      <c r="B91" s="43" t="str">
        <f>IF(MAX(C91:C109)&lt;ROW(43:43),"",VLOOKUP(ROW(43:43),C91:D109,2))</f>
        <v/>
      </c>
      <c r="C91" s="192" t="str">
        <f t="array" ref="C91">IF(COUNTIF(D$48:D91,D91)=1,MAX(C$48:C90)+1,"")</f>
        <v/>
      </c>
      <c r="D91" s="189" t="str">
        <f t="array" ref="D91">IFERROR(INDEX(Данные!$AE$4:$AE$1156,SMALL(IF(Данные!$AD$4:$AD$1156=$N$25,ROW(Данные!$AD$4:$AD$1156)-ROW(Данные!$AD$4)+1),ROW()-ROW($D$49)+1)),"")</f>
        <v/>
      </c>
      <c r="E91" s="43"/>
      <c r="F91" s="43"/>
      <c r="H91" s="43"/>
      <c r="I91" s="43"/>
      <c r="J91" s="43"/>
      <c r="K91" s="43"/>
      <c r="M91" s="43"/>
      <c r="N91" s="43"/>
    </row>
    <row r="92" spans="2:19" s="43" customFormat="1" hidden="1" x14ac:dyDescent="0.3">
      <c r="B92" s="43" t="str">
        <f>IF(MAX(C92:C109)&lt;ROW(44:44),"",VLOOKUP(ROW(44:44),C92:D109,2))</f>
        <v/>
      </c>
      <c r="C92" s="192" t="str">
        <f t="array" ref="C92">IF(COUNTIF(D$48:D92,D92)=1,MAX(C$48:C91)+1,"")</f>
        <v/>
      </c>
      <c r="D92" s="189" t="str">
        <f t="array" ref="D92">IFERROR(INDEX(Данные!$AE$4:$AE$1156,SMALL(IF(Данные!$AD$4:$AD$1156=$N$25,ROW(Данные!$AD$4:$AD$1156)-ROW(Данные!$AD$4)+1),ROW()-ROW($D$49)+1)),"")</f>
        <v/>
      </c>
      <c r="O92"/>
      <c r="Q92"/>
      <c r="R92"/>
      <c r="S92"/>
    </row>
    <row r="93" spans="2:19" ht="15" thickBot="1" x14ac:dyDescent="0.35">
      <c r="B93" s="136"/>
      <c r="C93" s="1032"/>
      <c r="D93" s="60"/>
      <c r="E93" s="136"/>
      <c r="F93" s="136"/>
      <c r="G93" s="136"/>
      <c r="H93" s="136"/>
      <c r="I93" s="136"/>
      <c r="J93" s="136"/>
      <c r="K93" s="136"/>
      <c r="L93" s="136"/>
      <c r="M93" s="43"/>
      <c r="N93" s="43"/>
      <c r="Q93" s="43"/>
      <c r="R93" s="43"/>
      <c r="S93" s="43"/>
    </row>
    <row r="94" spans="2:19" x14ac:dyDescent="0.3">
      <c r="B94" s="104" t="s">
        <v>6</v>
      </c>
      <c r="C94" s="1011"/>
      <c r="D94" s="1012"/>
      <c r="E94" s="107" t="s">
        <v>295</v>
      </c>
      <c r="F94" s="1608" t="s">
        <v>296</v>
      </c>
      <c r="G94" s="1609"/>
      <c r="H94" s="107" t="s">
        <v>296</v>
      </c>
      <c r="I94" s="107" t="s">
        <v>297</v>
      </c>
      <c r="J94" s="104" t="s">
        <v>298</v>
      </c>
      <c r="K94" s="1012"/>
      <c r="L94" s="1264"/>
      <c r="M94" s="1409" t="s">
        <v>403</v>
      </c>
      <c r="N94" s="1410"/>
    </row>
    <row r="95" spans="2:19" ht="15" thickBot="1" x14ac:dyDescent="0.35">
      <c r="B95" s="109"/>
      <c r="C95" s="1013" t="s">
        <v>299</v>
      </c>
      <c r="D95" s="1010"/>
      <c r="E95" s="111" t="s">
        <v>300</v>
      </c>
      <c r="F95" s="1610" t="s">
        <v>301</v>
      </c>
      <c r="G95" s="1611"/>
      <c r="H95" s="111" t="s">
        <v>302</v>
      </c>
      <c r="I95" s="111"/>
      <c r="J95" s="112" t="s">
        <v>303</v>
      </c>
      <c r="K95" s="1010"/>
      <c r="L95" s="1264"/>
      <c r="M95" s="1411" t="s">
        <v>406</v>
      </c>
      <c r="N95" s="1412" t="s">
        <v>787</v>
      </c>
    </row>
    <row r="96" spans="2:19" ht="15" thickBot="1" x14ac:dyDescent="0.35">
      <c r="B96" s="113"/>
      <c r="C96" s="114" t="s">
        <v>304</v>
      </c>
      <c r="D96" s="114"/>
      <c r="E96" s="107">
        <v>86</v>
      </c>
      <c r="F96" s="1592">
        <v>2</v>
      </c>
      <c r="G96" s="1593"/>
      <c r="H96" s="1033">
        <v>10</v>
      </c>
      <c r="I96" s="1034">
        <v>5</v>
      </c>
      <c r="J96" s="1590">
        <f ca="1">ROUND(M96/1000*F11,3)</f>
        <v>0.26</v>
      </c>
      <c r="K96" s="1591"/>
      <c r="L96" s="1305"/>
      <c r="M96" s="1321">
        <v>9.8000000000000007</v>
      </c>
      <c r="N96" s="1322">
        <v>10.5</v>
      </c>
    </row>
    <row r="97" spans="2:15" ht="15" thickBot="1" x14ac:dyDescent="0.35">
      <c r="B97" s="113"/>
      <c r="C97" s="114" t="s">
        <v>305</v>
      </c>
      <c r="D97" s="114"/>
      <c r="E97" s="1581">
        <v>86</v>
      </c>
      <c r="F97" s="1584">
        <v>2</v>
      </c>
      <c r="G97" s="1585"/>
      <c r="H97" s="1581">
        <v>20</v>
      </c>
      <c r="I97" s="1581">
        <v>3</v>
      </c>
      <c r="J97" s="1584">
        <f ca="1">ROUND(M97/1000*F11,3)</f>
        <v>0.17199999999999999</v>
      </c>
      <c r="K97" s="1585"/>
      <c r="L97" s="1306"/>
      <c r="M97" s="1187">
        <v>6.5</v>
      </c>
      <c r="N97" s="1323">
        <v>7</v>
      </c>
      <c r="O97" s="136"/>
    </row>
    <row r="98" spans="2:15" ht="15" thickBot="1" x14ac:dyDescent="0.35">
      <c r="B98" s="113"/>
      <c r="C98" s="114" t="s">
        <v>306</v>
      </c>
      <c r="D98" s="114"/>
      <c r="E98" s="1582"/>
      <c r="F98" s="1586"/>
      <c r="G98" s="1587"/>
      <c r="H98" s="1582"/>
      <c r="I98" s="1582"/>
      <c r="J98" s="1586"/>
      <c r="K98" s="1587"/>
      <c r="L98" s="1306"/>
      <c r="M98" s="1031"/>
      <c r="N98" s="1324"/>
    </row>
    <row r="99" spans="2:15" ht="15" thickBot="1" x14ac:dyDescent="0.35">
      <c r="B99" s="113"/>
      <c r="C99" s="114" t="s">
        <v>307</v>
      </c>
      <c r="D99" s="114"/>
      <c r="E99" s="1583"/>
      <c r="F99" s="1588"/>
      <c r="G99" s="1589"/>
      <c r="H99" s="1583"/>
      <c r="I99" s="1583"/>
      <c r="J99" s="1588"/>
      <c r="K99" s="1589"/>
      <c r="L99" s="1306"/>
      <c r="M99" s="1031"/>
      <c r="N99" s="1324"/>
    </row>
    <row r="100" spans="2:15" ht="15" thickBot="1" x14ac:dyDescent="0.35">
      <c r="B100" s="113"/>
      <c r="C100" s="114" t="s">
        <v>308</v>
      </c>
      <c r="D100" s="114"/>
      <c r="E100" s="111">
        <v>39</v>
      </c>
      <c r="F100" s="1592">
        <v>2</v>
      </c>
      <c r="G100" s="1593"/>
      <c r="H100" s="1035">
        <v>20</v>
      </c>
      <c r="I100" s="1036">
        <v>4</v>
      </c>
      <c r="J100" s="1592">
        <f ca="1">ROUND(M100/1000*F11,3)</f>
        <v>0.111</v>
      </c>
      <c r="K100" s="1593"/>
      <c r="L100" s="1264"/>
      <c r="M100" s="1325">
        <v>4.2</v>
      </c>
      <c r="N100" s="1326">
        <v>4.5</v>
      </c>
    </row>
    <row r="102" spans="2:15" x14ac:dyDescent="0.3">
      <c r="C102" s="206" t="s">
        <v>411</v>
      </c>
      <c r="D102" s="142"/>
      <c r="E102" s="142"/>
      <c r="F102" s="142"/>
    </row>
    <row r="103" spans="2:15" x14ac:dyDescent="0.3">
      <c r="C103" s="207" t="s">
        <v>407</v>
      </c>
      <c r="D103" s="142"/>
      <c r="E103" s="142"/>
      <c r="F103" s="142"/>
    </row>
    <row r="110" spans="2:15" ht="15" thickBot="1" x14ac:dyDescent="0.35">
      <c r="K110" s="43" t="s">
        <v>402</v>
      </c>
    </row>
    <row r="111" spans="2:15" ht="15" thickBot="1" x14ac:dyDescent="0.35">
      <c r="B111" s="1"/>
      <c r="C111" s="2"/>
      <c r="D111" s="2"/>
      <c r="E111" s="41" t="s">
        <v>0</v>
      </c>
      <c r="F111" s="2"/>
      <c r="G111" s="2"/>
      <c r="H111" s="2"/>
      <c r="I111" s="2"/>
      <c r="J111" s="2"/>
      <c r="K111" s="80" t="s">
        <v>1097</v>
      </c>
      <c r="L111" s="59"/>
    </row>
    <row r="112" spans="2:15" x14ac:dyDescent="0.3">
      <c r="B112" s="12"/>
      <c r="C112" s="71" t="s">
        <v>2</v>
      </c>
      <c r="D112" s="71"/>
      <c r="E112" s="71"/>
      <c r="F112" s="603" t="s">
        <v>1254</v>
      </c>
      <c r="G112" s="6"/>
      <c r="H112" s="71"/>
      <c r="I112" s="81"/>
      <c r="J112" s="81"/>
      <c r="K112" s="82"/>
      <c r="L112" s="332"/>
    </row>
    <row r="113" spans="2:12" x14ac:dyDescent="0.3">
      <c r="B113" s="4"/>
      <c r="C113" s="59" t="s">
        <v>4</v>
      </c>
      <c r="D113" s="59"/>
      <c r="E113" s="59"/>
      <c r="F113" s="620" t="s">
        <v>1255</v>
      </c>
      <c r="G113" s="139"/>
      <c r="H113" s="60"/>
      <c r="I113" s="59"/>
      <c r="J113" s="59"/>
      <c r="K113" s="10"/>
      <c r="L113" s="59"/>
    </row>
    <row r="114" spans="2:12" x14ac:dyDescent="0.3">
      <c r="B114" s="4"/>
      <c r="C114" s="59" t="s">
        <v>6</v>
      </c>
      <c r="D114" s="59"/>
      <c r="E114" s="59"/>
      <c r="F114" s="620" t="s">
        <v>1256</v>
      </c>
      <c r="G114" s="1046"/>
      <c r="H114" s="60"/>
      <c r="I114" s="59"/>
      <c r="J114" s="59"/>
      <c r="K114" s="10"/>
      <c r="L114" s="59"/>
    </row>
    <row r="115" spans="2:12" x14ac:dyDescent="0.3">
      <c r="B115" s="4"/>
      <c r="C115" s="59" t="s">
        <v>10</v>
      </c>
      <c r="D115" s="59"/>
      <c r="E115" s="59"/>
      <c r="F115" s="769">
        <v>8</v>
      </c>
      <c r="G115" s="166" t="s">
        <v>1257</v>
      </c>
      <c r="H115" s="17"/>
      <c r="I115" s="59"/>
      <c r="J115" s="59"/>
      <c r="K115" s="10"/>
      <c r="L115" s="59"/>
    </row>
    <row r="116" spans="2:12" ht="15" thickBot="1" x14ac:dyDescent="0.35">
      <c r="B116" s="19"/>
      <c r="C116" s="65"/>
      <c r="D116" s="65"/>
      <c r="E116" s="65"/>
      <c r="F116" s="352"/>
      <c r="G116" s="65"/>
      <c r="H116" s="65"/>
      <c r="I116" s="65"/>
      <c r="J116" s="65"/>
      <c r="K116" s="40"/>
      <c r="L116" s="59"/>
    </row>
    <row r="117" spans="2:12" x14ac:dyDescent="0.3">
      <c r="B117" s="4"/>
      <c r="C117" s="59" t="s">
        <v>16</v>
      </c>
      <c r="D117" s="59"/>
      <c r="E117" s="59"/>
      <c r="F117" s="351" t="s">
        <v>21</v>
      </c>
      <c r="G117" s="99"/>
      <c r="H117" s="71"/>
      <c r="I117" s="59"/>
      <c r="J117" s="59" t="s">
        <v>17</v>
      </c>
      <c r="K117" s="185">
        <f>F118/F120</f>
        <v>0.34770318021201413</v>
      </c>
      <c r="L117" s="178"/>
    </row>
    <row r="118" spans="2:12" x14ac:dyDescent="0.3">
      <c r="B118" s="4"/>
      <c r="C118" s="59" t="s">
        <v>19</v>
      </c>
      <c r="D118" s="59"/>
      <c r="E118" s="59"/>
      <c r="F118" s="611">
        <v>49.2</v>
      </c>
      <c r="G118" s="353"/>
      <c r="H118" s="17"/>
      <c r="I118" s="59"/>
      <c r="J118" s="59" t="s">
        <v>23</v>
      </c>
      <c r="K118" s="15">
        <f>F118/F122</f>
        <v>0.24911392405063293</v>
      </c>
      <c r="L118" s="178"/>
    </row>
    <row r="119" spans="2:12" x14ac:dyDescent="0.3">
      <c r="B119" s="4"/>
      <c r="C119" s="59" t="s">
        <v>22</v>
      </c>
      <c r="D119" s="59"/>
      <c r="E119" s="59"/>
      <c r="F119" s="422">
        <v>283</v>
      </c>
      <c r="G119" s="16"/>
      <c r="H119" s="17"/>
      <c r="I119" s="59"/>
      <c r="J119" s="59"/>
      <c r="K119" s="18"/>
      <c r="L119" s="514"/>
    </row>
    <row r="120" spans="2:12" x14ac:dyDescent="0.3">
      <c r="B120" s="4"/>
      <c r="C120" s="60" t="s">
        <v>315</v>
      </c>
      <c r="D120" s="59"/>
      <c r="E120" s="59"/>
      <c r="F120" s="422">
        <v>141.5</v>
      </c>
      <c r="G120" s="16"/>
      <c r="H120" s="17"/>
      <c r="I120" s="59"/>
      <c r="J120" s="59"/>
      <c r="K120" s="18"/>
      <c r="L120" s="514"/>
    </row>
    <row r="121" spans="2:12" x14ac:dyDescent="0.3">
      <c r="B121" s="4"/>
      <c r="C121" s="59" t="s">
        <v>32</v>
      </c>
      <c r="D121" s="59"/>
      <c r="E121" s="59"/>
      <c r="F121" s="422">
        <v>295</v>
      </c>
      <c r="G121" s="16"/>
      <c r="H121" s="17"/>
      <c r="I121" s="59"/>
      <c r="J121" s="59"/>
      <c r="K121" s="18"/>
      <c r="L121" s="514"/>
    </row>
    <row r="122" spans="2:12" x14ac:dyDescent="0.3">
      <c r="B122" s="4"/>
      <c r="C122" s="60" t="s">
        <v>316</v>
      </c>
      <c r="F122" s="422">
        <v>197.5</v>
      </c>
      <c r="G122" s="75"/>
      <c r="H122" s="17"/>
      <c r="I122" s="59"/>
      <c r="J122" s="59"/>
      <c r="K122" s="18"/>
      <c r="L122" s="514"/>
    </row>
    <row r="123" spans="2:12" ht="16.2" thickBot="1" x14ac:dyDescent="0.35">
      <c r="B123" s="19"/>
      <c r="C123" s="59" t="s">
        <v>36</v>
      </c>
      <c r="D123" s="59"/>
      <c r="E123" s="59"/>
      <c r="F123" s="352">
        <v>2</v>
      </c>
      <c r="G123" s="43" t="s">
        <v>1258</v>
      </c>
      <c r="H123" s="1425"/>
      <c r="I123" s="65"/>
      <c r="J123" s="65"/>
      <c r="K123" s="22"/>
      <c r="L123" s="514"/>
    </row>
    <row r="124" spans="2:12" x14ac:dyDescent="0.3">
      <c r="B124" s="12"/>
      <c r="C124" s="6" t="s">
        <v>220</v>
      </c>
      <c r="D124" s="71"/>
      <c r="E124" s="71"/>
      <c r="F124" s="71"/>
      <c r="G124" s="71"/>
      <c r="H124" s="71"/>
      <c r="I124" s="71"/>
      <c r="J124" s="71"/>
      <c r="K124" s="13"/>
      <c r="L124" s="59"/>
    </row>
    <row r="125" spans="2:12" x14ac:dyDescent="0.3">
      <c r="B125" s="4"/>
      <c r="C125" s="59"/>
      <c r="D125" s="59"/>
      <c r="E125" s="59"/>
      <c r="F125" s="17"/>
      <c r="G125" s="17"/>
      <c r="H125" s="59"/>
      <c r="I125" s="59"/>
      <c r="J125" s="59"/>
      <c r="K125" s="18"/>
      <c r="L125" s="514"/>
    </row>
    <row r="126" spans="2:12" x14ac:dyDescent="0.3">
      <c r="B126" s="4"/>
      <c r="C126" s="59"/>
      <c r="D126" s="59"/>
      <c r="E126" s="59"/>
      <c r="F126" s="17"/>
      <c r="G126" s="17"/>
      <c r="H126" s="59"/>
      <c r="I126" s="59"/>
      <c r="J126" s="59"/>
      <c r="K126" s="18"/>
      <c r="L126" s="514"/>
    </row>
    <row r="127" spans="2:12" x14ac:dyDescent="0.3">
      <c r="B127" s="4"/>
      <c r="C127" s="59"/>
      <c r="D127" s="59"/>
      <c r="E127" s="59"/>
      <c r="F127" s="17"/>
      <c r="G127" s="17"/>
      <c r="H127" s="59"/>
      <c r="I127" s="59"/>
      <c r="J127" s="59"/>
      <c r="K127" s="10"/>
      <c r="L127" s="59"/>
    </row>
    <row r="128" spans="2:12" x14ac:dyDescent="0.3">
      <c r="B128" s="120"/>
      <c r="C128" s="121" t="s">
        <v>1259</v>
      </c>
      <c r="D128" s="59"/>
      <c r="E128" s="59"/>
      <c r="F128" s="17"/>
      <c r="G128" s="17"/>
      <c r="H128" s="127" t="s">
        <v>1261</v>
      </c>
      <c r="I128" s="59"/>
      <c r="J128" s="59"/>
      <c r="K128" s="10"/>
      <c r="L128" s="59"/>
    </row>
    <row r="129" spans="2:12" x14ac:dyDescent="0.3">
      <c r="B129" s="4"/>
      <c r="C129" s="1194" t="s">
        <v>1260</v>
      </c>
      <c r="D129" s="59"/>
      <c r="E129" s="59"/>
      <c r="F129" s="17"/>
      <c r="G129" s="17"/>
      <c r="H129" s="1195" t="s">
        <v>1262</v>
      </c>
      <c r="I129" s="393"/>
      <c r="J129" s="59"/>
      <c r="K129" s="116"/>
      <c r="L129" s="1303"/>
    </row>
    <row r="130" spans="2:12" x14ac:dyDescent="0.3">
      <c r="B130" s="4"/>
      <c r="C130" s="1205"/>
      <c r="D130" s="59"/>
      <c r="E130" s="59"/>
      <c r="F130" s="17"/>
      <c r="G130" s="17"/>
      <c r="H130" s="1206"/>
      <c r="I130" s="59"/>
      <c r="J130" s="59"/>
      <c r="K130" s="18"/>
      <c r="L130" s="514"/>
    </row>
    <row r="131" spans="2:12" x14ac:dyDescent="0.3">
      <c r="B131" s="4"/>
      <c r="C131" s="59"/>
      <c r="D131" s="59"/>
      <c r="E131" s="59"/>
      <c r="F131" s="17"/>
      <c r="G131" s="17"/>
      <c r="H131" s="59"/>
      <c r="I131" s="59"/>
      <c r="J131" s="59"/>
      <c r="K131" s="18"/>
      <c r="L131" s="514"/>
    </row>
    <row r="132" spans="2:12" x14ac:dyDescent="0.3">
      <c r="B132" s="4"/>
      <c r="C132" s="59"/>
      <c r="D132" s="59"/>
      <c r="E132" s="59"/>
      <c r="F132" s="17"/>
      <c r="G132" s="17"/>
      <c r="H132" s="59"/>
      <c r="I132" s="59"/>
      <c r="J132" s="59"/>
      <c r="K132" s="18"/>
      <c r="L132" s="514"/>
    </row>
    <row r="133" spans="2:12" x14ac:dyDescent="0.3">
      <c r="B133" s="4"/>
      <c r="C133" s="59"/>
      <c r="D133" s="59"/>
      <c r="E133" s="115">
        <v>464</v>
      </c>
      <c r="F133" s="59"/>
      <c r="G133" s="59"/>
      <c r="H133" s="59"/>
      <c r="I133" s="59"/>
      <c r="J133" s="59"/>
      <c r="K133" s="18"/>
      <c r="L133" s="514"/>
    </row>
    <row r="134" spans="2:12" x14ac:dyDescent="0.3">
      <c r="B134" s="4"/>
      <c r="C134" s="59"/>
      <c r="D134" s="59"/>
      <c r="E134" s="1195" t="s">
        <v>1263</v>
      </c>
      <c r="F134" s="1045"/>
      <c r="G134" s="23"/>
      <c r="H134" s="59"/>
      <c r="I134" s="59"/>
      <c r="J134" s="59"/>
      <c r="K134" s="18"/>
      <c r="L134" s="514"/>
    </row>
    <row r="135" spans="2:12" ht="15" thickBot="1" x14ac:dyDescent="0.35">
      <c r="B135" s="19"/>
      <c r="C135" s="65"/>
      <c r="D135" s="65"/>
      <c r="E135" s="125"/>
      <c r="F135" s="1045"/>
      <c r="G135" s="167"/>
      <c r="H135" s="65"/>
      <c r="I135" s="65"/>
      <c r="J135" s="65"/>
      <c r="K135" s="22"/>
      <c r="L135" s="514"/>
    </row>
    <row r="136" spans="2:12" ht="15" thickBot="1" x14ac:dyDescent="0.35">
      <c r="B136" s="1"/>
      <c r="C136" s="2"/>
      <c r="D136" s="2"/>
      <c r="E136" s="87" t="s">
        <v>278</v>
      </c>
      <c r="F136" s="71"/>
      <c r="G136" s="71"/>
      <c r="H136" s="2"/>
      <c r="I136" s="2"/>
      <c r="J136" s="2"/>
      <c r="K136" s="88"/>
      <c r="L136" s="514"/>
    </row>
    <row r="137" spans="2:12" ht="15" thickBot="1" x14ac:dyDescent="0.35">
      <c r="B137" s="89" t="s">
        <v>279</v>
      </c>
      <c r="C137" s="2"/>
      <c r="D137" s="2"/>
      <c r="E137" s="89" t="s">
        <v>203</v>
      </c>
      <c r="F137" s="381" t="s">
        <v>88</v>
      </c>
      <c r="G137" s="746"/>
      <c r="H137" s="92" t="s">
        <v>469</v>
      </c>
      <c r="I137" s="396"/>
      <c r="J137" s="397"/>
      <c r="K137" s="93" t="s">
        <v>280</v>
      </c>
      <c r="L137" s="1241"/>
    </row>
    <row r="138" spans="2:12" x14ac:dyDescent="0.3">
      <c r="B138" s="94" t="s">
        <v>818</v>
      </c>
      <c r="C138" s="59"/>
      <c r="D138" s="59"/>
      <c r="E138" s="119">
        <v>412</v>
      </c>
      <c r="F138" s="16">
        <v>512</v>
      </c>
      <c r="G138" s="16"/>
      <c r="H138" s="743" t="str">
        <f>H29</f>
        <v>72.43773 - 14</v>
      </c>
      <c r="I138" s="161"/>
      <c r="J138" s="394"/>
      <c r="K138" s="96"/>
      <c r="L138" s="335"/>
    </row>
    <row r="139" spans="2:12" x14ac:dyDescent="0.3">
      <c r="B139" s="94" t="s">
        <v>282</v>
      </c>
      <c r="C139" s="59"/>
      <c r="D139" s="59"/>
      <c r="E139" s="95">
        <v>300</v>
      </c>
      <c r="F139" s="16"/>
      <c r="G139" s="16"/>
      <c r="H139" s="383" t="str">
        <f ca="1">H30</f>
        <v>72.11877 - 5</v>
      </c>
      <c r="I139" s="23"/>
      <c r="J139" s="395"/>
      <c r="K139" s="96"/>
      <c r="L139" s="335"/>
    </row>
    <row r="140" spans="2:12" x14ac:dyDescent="0.3">
      <c r="B140" s="94" t="s">
        <v>283</v>
      </c>
      <c r="C140" s="59"/>
      <c r="D140" s="59"/>
      <c r="E140" s="95">
        <f>E138</f>
        <v>412</v>
      </c>
      <c r="F140" s="16">
        <v>40</v>
      </c>
      <c r="G140" s="16"/>
      <c r="H140" s="345" t="str">
        <f>H31</f>
        <v>72.47211 - 184</v>
      </c>
      <c r="I140" s="23"/>
      <c r="J140" s="395"/>
      <c r="K140" s="96"/>
      <c r="L140" s="335"/>
    </row>
    <row r="141" spans="2:12" ht="15" thickBot="1" x14ac:dyDescent="0.35">
      <c r="B141" s="94" t="s">
        <v>284</v>
      </c>
      <c r="C141" s="59"/>
      <c r="D141" s="59"/>
      <c r="E141" s="97"/>
      <c r="F141" s="16">
        <v>0</v>
      </c>
      <c r="G141" s="16"/>
      <c r="H141" s="346"/>
      <c r="I141" s="167"/>
      <c r="J141" s="72"/>
      <c r="K141" s="96"/>
      <c r="L141" s="335"/>
    </row>
    <row r="142" spans="2:12" x14ac:dyDescent="0.3">
      <c r="B142" s="12"/>
      <c r="C142" s="6" t="s">
        <v>285</v>
      </c>
      <c r="D142" s="71"/>
      <c r="E142" s="71"/>
      <c r="F142" s="98">
        <v>472</v>
      </c>
      <c r="G142" s="98"/>
      <c r="H142" s="71"/>
      <c r="I142" s="71"/>
      <c r="J142" s="71"/>
      <c r="K142" s="13"/>
      <c r="L142" s="59"/>
    </row>
    <row r="143" spans="2:12" ht="16.2" thickBot="1" x14ac:dyDescent="0.35">
      <c r="B143" s="430"/>
      <c r="C143" s="982"/>
      <c r="D143" s="65"/>
      <c r="E143" s="65"/>
      <c r="F143" s="65"/>
      <c r="G143" s="65"/>
      <c r="H143" s="65"/>
      <c r="I143" s="65"/>
      <c r="J143" s="65"/>
      <c r="K143" s="40"/>
      <c r="L143" s="59"/>
    </row>
    <row r="144" spans="2:12" x14ac:dyDescent="0.3">
      <c r="B144" s="12"/>
      <c r="C144" s="11" t="str">
        <f>"Плавка по инструкции "&amp;VLOOKUP(F117,Данные!A3:I27,6,FALSE())</f>
        <v>Плавка по инструкции 25010.00172</v>
      </c>
      <c r="D144" s="71"/>
      <c r="E144" s="71"/>
      <c r="F144" s="99"/>
      <c r="G144" s="99"/>
      <c r="H144" s="71"/>
      <c r="I144" s="71"/>
      <c r="J144" s="71"/>
      <c r="K144" s="100"/>
      <c r="L144" s="514"/>
    </row>
    <row r="145" spans="2:12" ht="15" thickBot="1" x14ac:dyDescent="0.35">
      <c r="B145" s="4"/>
      <c r="C145" s="11" t="s">
        <v>286</v>
      </c>
      <c r="D145" s="59"/>
      <c r="E145" s="59"/>
      <c r="F145" s="17"/>
      <c r="G145" s="17"/>
      <c r="H145" s="59"/>
      <c r="I145" s="59"/>
      <c r="J145" s="59"/>
      <c r="K145" s="18"/>
      <c r="L145" s="514"/>
    </row>
    <row r="146" spans="2:12" x14ac:dyDescent="0.3">
      <c r="B146" s="12"/>
      <c r="C146" s="6" t="s">
        <v>287</v>
      </c>
      <c r="D146" s="71"/>
      <c r="E146" s="71"/>
      <c r="F146" s="101"/>
      <c r="G146" s="101"/>
      <c r="H146" s="71"/>
      <c r="I146" s="71"/>
      <c r="J146" s="71"/>
      <c r="K146" s="13"/>
      <c r="L146" s="59"/>
    </row>
    <row r="147" spans="2:12" x14ac:dyDescent="0.3">
      <c r="B147" s="4"/>
      <c r="C147" s="11" t="s">
        <v>288</v>
      </c>
      <c r="D147" s="59"/>
      <c r="E147" s="59"/>
      <c r="F147" s="17"/>
      <c r="G147" s="17"/>
      <c r="H147" s="59"/>
      <c r="I147" s="59"/>
      <c r="J147" s="59"/>
      <c r="K147" s="10"/>
      <c r="L147" s="59"/>
    </row>
    <row r="148" spans="2:12" x14ac:dyDescent="0.3">
      <c r="B148" s="4"/>
      <c r="C148" s="11" t="s">
        <v>289</v>
      </c>
      <c r="D148" s="59"/>
      <c r="E148" s="59"/>
      <c r="F148" s="17"/>
      <c r="G148" s="17"/>
      <c r="H148" s="59"/>
      <c r="I148" s="59"/>
      <c r="J148" s="59"/>
      <c r="K148" s="10"/>
      <c r="L148" s="59"/>
    </row>
    <row r="149" spans="2:12" ht="15" thickBot="1" x14ac:dyDescent="0.35">
      <c r="B149" s="19"/>
      <c r="C149" s="65"/>
      <c r="D149" s="65"/>
      <c r="E149" s="65"/>
      <c r="F149" s="65"/>
      <c r="G149" s="65"/>
      <c r="H149" s="65"/>
      <c r="I149" s="65"/>
      <c r="J149" s="65"/>
      <c r="K149" s="40"/>
      <c r="L149" s="59"/>
    </row>
    <row r="150" spans="2:12" ht="15" thickBot="1" x14ac:dyDescent="0.35">
      <c r="B150" s="1"/>
      <c r="C150" s="87" t="s">
        <v>658</v>
      </c>
      <c r="D150" s="80"/>
      <c r="E150" s="90" t="s">
        <v>291</v>
      </c>
      <c r="F150" s="87" t="s">
        <v>292</v>
      </c>
      <c r="G150" s="87"/>
      <c r="H150" s="90" t="s">
        <v>293</v>
      </c>
      <c r="I150" s="92" t="s">
        <v>294</v>
      </c>
      <c r="J150" s="92"/>
      <c r="K150" s="90" t="s">
        <v>293</v>
      </c>
      <c r="L150" s="11"/>
    </row>
    <row r="151" spans="2:12" ht="15" thickBot="1" x14ac:dyDescent="0.35">
      <c r="B151" s="1"/>
      <c r="C151" s="1594">
        <f ca="1">TODAY()</f>
        <v>45428</v>
      </c>
      <c r="D151" s="1595"/>
      <c r="E151" s="74"/>
      <c r="F151" s="102"/>
      <c r="G151" s="102"/>
      <c r="H151" s="103"/>
      <c r="I151" s="2"/>
      <c r="J151" s="2"/>
      <c r="K151" s="103"/>
      <c r="L151" s="59"/>
    </row>
    <row r="152" spans="2:12" ht="15" thickBot="1" x14ac:dyDescent="0.35">
      <c r="B152" s="1"/>
      <c r="C152" s="92" t="s">
        <v>70</v>
      </c>
      <c r="D152" s="80"/>
      <c r="E152" s="74"/>
      <c r="F152" s="2"/>
      <c r="G152" s="2"/>
      <c r="H152" s="103"/>
      <c r="I152" s="2"/>
      <c r="J152" s="2"/>
      <c r="K152" s="103"/>
      <c r="L152" s="59"/>
    </row>
  </sheetData>
  <mergeCells count="40">
    <mergeCell ref="C42:D42"/>
    <mergeCell ref="I42:J42"/>
    <mergeCell ref="F28:G28"/>
    <mergeCell ref="F41:G41"/>
    <mergeCell ref="F42:G42"/>
    <mergeCell ref="M1:N1"/>
    <mergeCell ref="Q11:R11"/>
    <mergeCell ref="Q12:R12"/>
    <mergeCell ref="Q13:R13"/>
    <mergeCell ref="Q14:R14"/>
    <mergeCell ref="R3:V3"/>
    <mergeCell ref="C151:D151"/>
    <mergeCell ref="M3:N3"/>
    <mergeCell ref="M11:N11"/>
    <mergeCell ref="Q15:R15"/>
    <mergeCell ref="Q16:R16"/>
    <mergeCell ref="Q17:R17"/>
    <mergeCell ref="Q18:R18"/>
    <mergeCell ref="Q19:R19"/>
    <mergeCell ref="Q20:R20"/>
    <mergeCell ref="Q21:R21"/>
    <mergeCell ref="F100:G100"/>
    <mergeCell ref="E97:E99"/>
    <mergeCell ref="F97:G99"/>
    <mergeCell ref="F94:G94"/>
    <mergeCell ref="F95:G95"/>
    <mergeCell ref="F96:G96"/>
    <mergeCell ref="H97:H99"/>
    <mergeCell ref="I97:I99"/>
    <mergeCell ref="J97:K99"/>
    <mergeCell ref="J96:K96"/>
    <mergeCell ref="J100:K100"/>
    <mergeCell ref="Q30:R30"/>
    <mergeCell ref="F43:G43"/>
    <mergeCell ref="I43:J43"/>
    <mergeCell ref="I41:J41"/>
    <mergeCell ref="H28:J28"/>
    <mergeCell ref="H29:J29"/>
    <mergeCell ref="H30:J30"/>
    <mergeCell ref="H31:J31"/>
  </mergeCells>
  <conditionalFormatting sqref="N19">
    <cfRule type="cellIs" dxfId="4" priority="2" operator="lessThan">
      <formula>0</formula>
    </cfRule>
  </conditionalFormatting>
  <conditionalFormatting sqref="S27">
    <cfRule type="cellIs" dxfId="3" priority="1" operator="lessThan">
      <formula>$S$25</formula>
    </cfRule>
  </conditionalFormatting>
  <dataValidations count="1">
    <dataValidation type="list" allowBlank="1" showInputMessage="1" showErrorMessage="1" sqref="N26" xr:uid="{4539B91B-B4CF-41CE-9AE5-00B79406B667}">
      <formula1>$B$49:$B$63</formula1>
    </dataValidation>
  </dataValidations>
  <hyperlinks>
    <hyperlink ref="M1" r:id="rId1" xr:uid="{D54A4CD7-C299-40B5-AE66-389F9548172B}"/>
  </hyperlinks>
  <pageMargins left="0.7" right="0.7" top="0.75" bottom="0.75" header="0.3" footer="0.3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22860</xdr:colOff>
                    <xdr:row>11</xdr:row>
                    <xdr:rowOff>7620</xdr:rowOff>
                  </from>
                  <to>
                    <xdr:col>15</xdr:col>
                    <xdr:colOff>83820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AC625D-17AE-4772-8D0C-555406FC2252}">
          <x14:formula1>
            <xm:f>Данные!$AB$79:$AB$264</xm:f>
          </x14:formula1>
          <xm:sqref>D48 N25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F117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K55"/>
  <sheetViews>
    <sheetView zoomScale="85" zoomScaleNormal="85" workbookViewId="0">
      <selection activeCell="O15" sqref="O15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2.44140625" style="43" customWidth="1"/>
    <col min="8" max="8" width="7.5546875" customWidth="1"/>
    <col min="9" max="9" width="7.6640625" customWidth="1"/>
    <col min="10" max="10" width="8.5546875" customWidth="1"/>
    <col min="12" max="12" width="2.88671875" style="43" customWidth="1"/>
    <col min="13" max="13" width="15.21875" customWidth="1"/>
    <col min="14" max="14" width="10.6640625" customWidth="1"/>
    <col min="15" max="15" width="24.33203125" customWidth="1"/>
    <col min="16" max="16" width="8.6640625" customWidth="1"/>
    <col min="17" max="17" width="3.21875" customWidth="1"/>
    <col min="18" max="18" width="4.44140625" customWidth="1"/>
    <col min="20" max="20" width="6.6640625" customWidth="1"/>
    <col min="21" max="21" width="16.21875" customWidth="1"/>
    <col min="22" max="22" width="10.88671875" customWidth="1"/>
    <col min="23" max="23" width="3.33203125" style="43" customWidth="1"/>
    <col min="24" max="24" width="9.5546875" customWidth="1"/>
    <col min="25" max="25" width="8.6640625" customWidth="1"/>
    <col min="26" max="26" width="7.21875" customWidth="1"/>
    <col min="28" max="28" width="17.33203125" customWidth="1"/>
    <col min="37" max="37" width="10.33203125" customWidth="1"/>
  </cols>
  <sheetData>
    <row r="1" spans="2:37" ht="15" thickBot="1" x14ac:dyDescent="0.35">
      <c r="K1" s="44" t="s">
        <v>1158</v>
      </c>
      <c r="AA1" s="44" t="s">
        <v>1158</v>
      </c>
    </row>
    <row r="2" spans="2:37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0" t="s">
        <v>1097</v>
      </c>
      <c r="L2" s="1058"/>
      <c r="M2" s="1142" t="s">
        <v>1089</v>
      </c>
      <c r="N2" s="906" t="s">
        <v>324</v>
      </c>
      <c r="O2" s="760" t="s">
        <v>325</v>
      </c>
      <c r="P2" s="1243"/>
      <c r="R2" s="1"/>
      <c r="S2" s="2"/>
      <c r="T2" s="2"/>
      <c r="U2" s="41" t="s">
        <v>0</v>
      </c>
      <c r="V2" s="2"/>
      <c r="W2" s="2"/>
      <c r="X2" s="2"/>
      <c r="Y2" s="2"/>
      <c r="Z2" s="2"/>
      <c r="AA2" s="80" t="s">
        <v>1097</v>
      </c>
      <c r="AB2" t="s">
        <v>1089</v>
      </c>
      <c r="AE2" s="1026"/>
      <c r="AF2" s="1618" t="s">
        <v>925</v>
      </c>
      <c r="AG2" s="1618"/>
      <c r="AH2" s="1618"/>
      <c r="AI2" s="1618"/>
      <c r="AJ2" s="1618"/>
      <c r="AK2" s="1027"/>
    </row>
    <row r="3" spans="2:37" ht="15.6" x14ac:dyDescent="0.3">
      <c r="B3" s="4"/>
      <c r="C3" s="71" t="s">
        <v>2</v>
      </c>
      <c r="D3" s="71"/>
      <c r="E3" s="71"/>
      <c r="F3" s="603" t="s">
        <v>1204</v>
      </c>
      <c r="G3" s="6"/>
      <c r="H3" s="1336"/>
      <c r="I3" s="81"/>
      <c r="J3" s="81"/>
      <c r="K3" s="82"/>
      <c r="L3" s="332"/>
      <c r="M3" s="756"/>
      <c r="N3" s="903"/>
      <c r="O3" s="908" t="s">
        <v>371</v>
      </c>
      <c r="P3" s="61">
        <v>319</v>
      </c>
      <c r="R3" s="4"/>
      <c r="S3" s="71" t="s">
        <v>2</v>
      </c>
      <c r="T3" s="71"/>
      <c r="U3" s="71"/>
      <c r="V3" s="603" t="s">
        <v>1159</v>
      </c>
      <c r="W3" s="6"/>
      <c r="X3" s="71"/>
      <c r="Y3" s="81"/>
      <c r="Z3" s="81"/>
      <c r="AA3" s="82"/>
      <c r="AB3" s="757" t="s">
        <v>1091</v>
      </c>
      <c r="AC3" s="58">
        <v>310</v>
      </c>
      <c r="AE3" s="1077" t="s">
        <v>1019</v>
      </c>
      <c r="AF3" s="1247">
        <v>1</v>
      </c>
      <c r="AG3" s="1247">
        <v>2</v>
      </c>
      <c r="AH3" s="1247">
        <v>3</v>
      </c>
      <c r="AI3" s="1248">
        <v>4</v>
      </c>
      <c r="AJ3" s="1025" t="s">
        <v>859</v>
      </c>
      <c r="AK3" s="1024"/>
    </row>
    <row r="4" spans="2:37" ht="16.2" thickBot="1" x14ac:dyDescent="0.35">
      <c r="B4" s="4"/>
      <c r="C4" s="59" t="s">
        <v>4</v>
      </c>
      <c r="D4" s="59"/>
      <c r="E4" s="59"/>
      <c r="F4" s="620" t="s">
        <v>1205</v>
      </c>
      <c r="G4" s="635"/>
      <c r="H4" s="1337"/>
      <c r="I4" s="59"/>
      <c r="J4" s="59"/>
      <c r="K4" s="10"/>
      <c r="L4" s="59"/>
      <c r="M4" s="757" t="s">
        <v>364</v>
      </c>
      <c r="N4" s="904">
        <v>310</v>
      </c>
      <c r="O4" s="908" t="s">
        <v>369</v>
      </c>
      <c r="P4" s="733">
        <v>230</v>
      </c>
      <c r="R4" s="4"/>
      <c r="S4" s="59" t="s">
        <v>4</v>
      </c>
      <c r="T4" s="59"/>
      <c r="U4" s="59"/>
      <c r="V4" s="620" t="s">
        <v>1160</v>
      </c>
      <c r="W4" s="1249"/>
      <c r="X4" s="764"/>
      <c r="Y4" s="59"/>
      <c r="Z4" s="59"/>
      <c r="AA4" s="10"/>
      <c r="AB4" s="757" t="s">
        <v>1092</v>
      </c>
      <c r="AC4" s="58">
        <v>200</v>
      </c>
      <c r="AE4" s="1022"/>
      <c r="AF4" s="59">
        <v>0</v>
      </c>
      <c r="AG4" s="59">
        <v>0</v>
      </c>
      <c r="AH4" s="59">
        <v>25.2</v>
      </c>
      <c r="AI4" s="10">
        <v>27.5</v>
      </c>
      <c r="AJ4" s="618">
        <f>SUM(AF4:AI4)</f>
        <v>52.7</v>
      </c>
      <c r="AK4" s="1024"/>
    </row>
    <row r="5" spans="2:37" ht="16.2" thickBot="1" x14ac:dyDescent="0.35">
      <c r="B5" s="4"/>
      <c r="C5" s="59" t="s">
        <v>6</v>
      </c>
      <c r="D5" s="59"/>
      <c r="E5" s="59"/>
      <c r="F5" s="620" t="s">
        <v>1206</v>
      </c>
      <c r="G5" s="635"/>
      <c r="H5" s="1338"/>
      <c r="I5" s="59"/>
      <c r="J5" s="59"/>
      <c r="K5" s="10"/>
      <c r="L5" s="59"/>
      <c r="M5" s="757" t="s">
        <v>365</v>
      </c>
      <c r="N5" s="904">
        <v>200</v>
      </c>
      <c r="O5" s="908" t="s">
        <v>370</v>
      </c>
      <c r="P5" s="61">
        <v>380</v>
      </c>
      <c r="R5" s="4"/>
      <c r="S5" s="59" t="s">
        <v>6</v>
      </c>
      <c r="T5" s="59"/>
      <c r="U5" s="59"/>
      <c r="V5" s="620" t="s">
        <v>7</v>
      </c>
      <c r="W5" s="1249"/>
      <c r="X5" s="1246"/>
      <c r="Y5" s="59"/>
      <c r="Z5" s="59"/>
      <c r="AA5" s="10"/>
      <c r="AB5" s="757" t="s">
        <v>363</v>
      </c>
      <c r="AC5" s="58">
        <v>160</v>
      </c>
      <c r="AE5" s="1022"/>
      <c r="AF5" s="1029">
        <f t="shared" ref="AF5:AG7" si="0">AF4/$AJ4*$AJ5</f>
        <v>0</v>
      </c>
      <c r="AG5" s="1029">
        <f t="shared" si="0"/>
        <v>0</v>
      </c>
      <c r="AH5" s="1029">
        <f>AH4/$AJ4*$AJ5</f>
        <v>71.822390891840598</v>
      </c>
      <c r="AI5" s="1078">
        <f>AI4/$AJ4*$AJ5</f>
        <v>78.37760910815939</v>
      </c>
      <c r="AJ5" s="1028">
        <v>150.19999999999999</v>
      </c>
      <c r="AK5" s="619" t="s">
        <v>1044</v>
      </c>
    </row>
    <row r="6" spans="2:37" ht="16.2" thickBot="1" x14ac:dyDescent="0.35">
      <c r="B6" s="4"/>
      <c r="C6" s="59" t="s">
        <v>10</v>
      </c>
      <c r="D6" s="59"/>
      <c r="E6" s="59"/>
      <c r="F6" s="769">
        <v>1</v>
      </c>
      <c r="G6" s="1155"/>
      <c r="H6" s="1339"/>
      <c r="I6" s="59"/>
      <c r="J6" s="59"/>
      <c r="K6" s="10"/>
      <c r="L6" s="59"/>
      <c r="M6" s="757" t="s">
        <v>363</v>
      </c>
      <c r="N6" s="904">
        <v>160</v>
      </c>
      <c r="O6" s="915" t="s">
        <v>372</v>
      </c>
      <c r="P6" s="474">
        <v>65</v>
      </c>
      <c r="R6" s="4"/>
      <c r="S6" s="59" t="s">
        <v>10</v>
      </c>
      <c r="T6" s="59"/>
      <c r="U6" s="59"/>
      <c r="V6" s="769">
        <v>2</v>
      </c>
      <c r="W6" s="1250"/>
      <c r="X6" s="17"/>
      <c r="Y6" s="59"/>
      <c r="Z6" s="59"/>
      <c r="AA6" s="10"/>
      <c r="AB6" s="757" t="s">
        <v>366</v>
      </c>
      <c r="AC6" s="58">
        <v>20</v>
      </c>
      <c r="AE6" s="1022"/>
      <c r="AF6" s="1029">
        <f t="shared" si="0"/>
        <v>0</v>
      </c>
      <c r="AG6" s="1029">
        <f t="shared" si="0"/>
        <v>0</v>
      </c>
      <c r="AH6" s="1029">
        <f t="shared" ref="AH6:AH7" si="1">AH5/$AJ5*$AJ6</f>
        <v>71.822390891840598</v>
      </c>
      <c r="AI6" s="1078">
        <f t="shared" ref="AI6:AI7" si="2">AI5/$AJ5*$AJ6</f>
        <v>78.37760910815939</v>
      </c>
      <c r="AJ6" s="1028">
        <v>150.19999999999999</v>
      </c>
      <c r="AK6" s="619" t="s">
        <v>1043</v>
      </c>
    </row>
    <row r="7" spans="2:37" ht="16.2" thickBot="1" x14ac:dyDescent="0.35">
      <c r="B7" s="19"/>
      <c r="C7" s="65"/>
      <c r="D7" s="65"/>
      <c r="E7" s="65"/>
      <c r="F7" s="352"/>
      <c r="G7" s="649"/>
      <c r="H7" s="65"/>
      <c r="I7" s="65"/>
      <c r="J7" s="65"/>
      <c r="K7" s="40"/>
      <c r="L7" s="59"/>
      <c r="M7" s="757" t="s">
        <v>366</v>
      </c>
      <c r="N7" s="904">
        <v>20</v>
      </c>
      <c r="O7" s="908" t="s">
        <v>374</v>
      </c>
      <c r="P7" s="61">
        <v>285</v>
      </c>
      <c r="Q7" s="10"/>
      <c r="R7" s="19"/>
      <c r="S7" s="65"/>
      <c r="T7" s="65"/>
      <c r="U7" s="65"/>
      <c r="V7" s="352"/>
      <c r="W7" s="1251"/>
      <c r="X7" s="65"/>
      <c r="Y7" s="65"/>
      <c r="Z7" s="65"/>
      <c r="AA7" s="40"/>
      <c r="AB7" s="757" t="s">
        <v>367</v>
      </c>
      <c r="AC7" s="58">
        <v>250</v>
      </c>
      <c r="AE7" s="1023"/>
      <c r="AF7" s="1030">
        <f t="shared" si="0"/>
        <v>0</v>
      </c>
      <c r="AG7" s="1030">
        <f t="shared" si="0"/>
        <v>0</v>
      </c>
      <c r="AH7" s="1030">
        <f t="shared" si="1"/>
        <v>74.691461100569256</v>
      </c>
      <c r="AI7" s="1079">
        <f t="shared" si="2"/>
        <v>81.508538899430732</v>
      </c>
      <c r="AJ7" s="1028">
        <v>156.19999999999999</v>
      </c>
      <c r="AK7" s="619" t="s">
        <v>1016</v>
      </c>
    </row>
    <row r="8" spans="2:37" ht="16.2" thickBot="1" x14ac:dyDescent="0.35">
      <c r="B8" s="4"/>
      <c r="C8" s="59" t="s">
        <v>16</v>
      </c>
      <c r="D8" s="59"/>
      <c r="E8" s="59"/>
      <c r="F8" s="168" t="s">
        <v>9</v>
      </c>
      <c r="G8" s="647"/>
      <c r="H8" s="59"/>
      <c r="I8" s="59"/>
      <c r="J8" s="168" t="s">
        <v>17</v>
      </c>
      <c r="K8" s="15">
        <f>F9/F10</f>
        <v>0.36546610169491522</v>
      </c>
      <c r="L8" s="178"/>
      <c r="M8" s="757" t="s">
        <v>367</v>
      </c>
      <c r="N8" s="904">
        <v>250</v>
      </c>
      <c r="O8" s="913" t="s">
        <v>327</v>
      </c>
      <c r="P8" s="914">
        <f>(P5-P6)/60+P4</f>
        <v>235.25</v>
      </c>
      <c r="Q8" s="10"/>
      <c r="R8" s="4"/>
      <c r="S8" s="59" t="s">
        <v>16</v>
      </c>
      <c r="T8" s="59"/>
      <c r="U8" s="59"/>
      <c r="V8" s="168" t="s">
        <v>9</v>
      </c>
      <c r="W8" s="1252"/>
      <c r="X8" s="17"/>
      <c r="Y8" s="59"/>
      <c r="Z8" s="59" t="s">
        <v>17</v>
      </c>
      <c r="AA8" s="15">
        <f>V9/V11</f>
        <v>0.35097493036211702</v>
      </c>
      <c r="AB8" s="908" t="s">
        <v>1093</v>
      </c>
      <c r="AC8" s="1143">
        <v>285</v>
      </c>
    </row>
    <row r="9" spans="2:37" ht="16.2" thickBot="1" x14ac:dyDescent="0.35">
      <c r="B9" s="4"/>
      <c r="C9" s="59" t="s">
        <v>19</v>
      </c>
      <c r="D9" s="59"/>
      <c r="E9" s="59"/>
      <c r="F9" s="422">
        <f>IF(N11=0,ROUNDUP(N10,1),N11)</f>
        <v>34.5</v>
      </c>
      <c r="G9" s="1340"/>
      <c r="H9" s="59"/>
      <c r="I9" s="59"/>
      <c r="J9" s="168" t="s">
        <v>23</v>
      </c>
      <c r="K9" s="15">
        <f>F9/F12</f>
        <v>0.35132382892057029</v>
      </c>
      <c r="L9" s="178"/>
      <c r="M9" s="758" t="s">
        <v>12</v>
      </c>
      <c r="N9" s="903">
        <f>VLOOKUP(F8,Данные!A3:I27,9,FALSE())</f>
        <v>9.1</v>
      </c>
      <c r="O9" s="916" t="s">
        <v>328</v>
      </c>
      <c r="P9" s="1332">
        <v>140</v>
      </c>
      <c r="R9" s="4"/>
      <c r="S9" s="59" t="s">
        <v>19</v>
      </c>
      <c r="T9" s="59"/>
      <c r="U9" s="59"/>
      <c r="V9" s="422">
        <v>25.2</v>
      </c>
      <c r="W9" s="1253"/>
      <c r="X9" s="17"/>
      <c r="Y9" s="59"/>
      <c r="Z9" s="59" t="s">
        <v>23</v>
      </c>
      <c r="AA9" s="15">
        <f>V9/V13</f>
        <v>0.33734939759036142</v>
      </c>
    </row>
    <row r="10" spans="2:37" ht="15.6" x14ac:dyDescent="0.3">
      <c r="B10" s="4"/>
      <c r="C10" s="59" t="s">
        <v>22</v>
      </c>
      <c r="D10" s="59"/>
      <c r="E10" s="59"/>
      <c r="F10" s="140">
        <f>IF(P13=0,IF(P12&lt;100,ROUNDUP(P12,1),ROUNDUP(P12,0)),P13)</f>
        <v>94.4</v>
      </c>
      <c r="G10" s="140"/>
      <c r="H10" s="59"/>
      <c r="I10" s="59"/>
      <c r="J10" s="59"/>
      <c r="K10" s="18"/>
      <c r="L10" s="514"/>
      <c r="M10" s="758" t="s">
        <v>368</v>
      </c>
      <c r="N10" s="905">
        <f>((N5*N5-N6*N6)*3.1415926*N8*N9+(N4*N4-N5*N5)*N7*N9*3.14)/4000000</f>
        <v>33.744650393999997</v>
      </c>
      <c r="P10" s="1331">
        <f>IF(P6&gt;=60,Данные!Y143,Данные!Y142)</f>
        <v>122.5</v>
      </c>
      <c r="Q10" s="59"/>
      <c r="R10" s="4"/>
      <c r="S10" s="59" t="s">
        <v>22</v>
      </c>
      <c r="T10" s="59"/>
      <c r="U10" s="59"/>
      <c r="V10" s="140">
        <v>150.19999999999999</v>
      </c>
      <c r="W10" s="1254"/>
      <c r="X10" s="17"/>
      <c r="Y10" s="59"/>
      <c r="Z10" s="59"/>
      <c r="AA10" s="18"/>
    </row>
    <row r="11" spans="2:37" ht="15" thickBot="1" x14ac:dyDescent="0.35">
      <c r="B11" s="4"/>
      <c r="C11" s="59" t="s">
        <v>315</v>
      </c>
      <c r="D11" s="59"/>
      <c r="E11" s="59"/>
      <c r="F11" s="429">
        <f>ROUND(F10/F14,1)</f>
        <v>94.4</v>
      </c>
      <c r="G11" s="429"/>
      <c r="H11" s="59"/>
      <c r="I11" s="59"/>
      <c r="J11" s="59"/>
      <c r="K11" s="18"/>
      <c r="L11" s="514"/>
      <c r="M11" s="759" t="s">
        <v>309</v>
      </c>
      <c r="N11" s="907">
        <v>34.5</v>
      </c>
      <c r="O11" s="910" t="s">
        <v>373</v>
      </c>
      <c r="P11" s="911">
        <v>65</v>
      </c>
      <c r="Q11" s="59"/>
      <c r="R11" s="4"/>
      <c r="S11" s="59" t="s">
        <v>315</v>
      </c>
      <c r="T11" s="59"/>
      <c r="U11" s="59"/>
      <c r="V11" s="429">
        <v>71.8</v>
      </c>
      <c r="W11" s="1255"/>
      <c r="X11" s="17"/>
      <c r="Y11" s="59"/>
      <c r="Z11" s="59"/>
      <c r="AA11" s="18"/>
    </row>
    <row r="12" spans="2:37" ht="15.6" x14ac:dyDescent="0.3">
      <c r="B12" s="4"/>
      <c r="C12" s="59" t="s">
        <v>32</v>
      </c>
      <c r="D12" s="59"/>
      <c r="E12" s="59"/>
      <c r="F12" s="140">
        <f>IF(F10&lt;100,ROUNDUP(F10*1.04,1),ROUNDUP(F10*1.04,0))</f>
        <v>98.199999999999989</v>
      </c>
      <c r="G12" s="140"/>
      <c r="H12" s="59"/>
      <c r="I12" s="59"/>
      <c r="J12" s="59"/>
      <c r="K12" s="344"/>
      <c r="L12" s="17"/>
      <c r="O12" s="912" t="s">
        <v>22</v>
      </c>
      <c r="P12" s="1141">
        <f>ROUNDUP(((P8*P8-P9*P9)*3.1415926*P7*N9+(P3*P3-P8*P8)*P11*N9*3.1415926)/4000000,1)</f>
        <v>94.399999999999991</v>
      </c>
      <c r="Q12" s="59"/>
      <c r="R12" s="4"/>
      <c r="S12" s="59" t="s">
        <v>32</v>
      </c>
      <c r="T12" s="59"/>
      <c r="U12" s="59"/>
      <c r="V12" s="140">
        <v>156.19999999999999</v>
      </c>
      <c r="W12" s="1254"/>
      <c r="X12" s="17"/>
      <c r="Y12" s="59"/>
      <c r="Z12" s="59"/>
      <c r="AA12" s="344"/>
    </row>
    <row r="13" spans="2:37" ht="16.2" thickBot="1" x14ac:dyDescent="0.35">
      <c r="B13" s="4"/>
      <c r="C13" s="59" t="s">
        <v>316</v>
      </c>
      <c r="D13" s="59"/>
      <c r="E13" s="59"/>
      <c r="F13" s="44">
        <f>ROUND(F12/F14,1)</f>
        <v>98.2</v>
      </c>
      <c r="G13" s="44"/>
      <c r="H13" s="59"/>
      <c r="I13" s="59"/>
      <c r="J13" s="59"/>
      <c r="K13" s="18"/>
      <c r="L13" s="514"/>
      <c r="O13" s="909" t="s">
        <v>322</v>
      </c>
      <c r="P13" s="755"/>
      <c r="Q13" s="59"/>
      <c r="R13" s="4"/>
      <c r="S13" s="59" t="s">
        <v>316</v>
      </c>
      <c r="T13" s="59"/>
      <c r="U13" s="59"/>
      <c r="V13" s="44">
        <v>74.7</v>
      </c>
      <c r="W13" s="1256"/>
      <c r="X13" s="17"/>
      <c r="Y13" s="59"/>
      <c r="Z13" s="59"/>
      <c r="AA13" s="18"/>
    </row>
    <row r="14" spans="2:37" ht="16.2" thickBot="1" x14ac:dyDescent="0.35">
      <c r="B14" s="19"/>
      <c r="C14" s="59" t="s">
        <v>36</v>
      </c>
      <c r="D14" s="59"/>
      <c r="E14" s="59"/>
      <c r="F14" s="168">
        <v>1</v>
      </c>
      <c r="G14" s="17"/>
      <c r="H14" s="59"/>
      <c r="I14" s="65"/>
      <c r="J14" s="65"/>
      <c r="K14" s="22"/>
      <c r="L14" s="514"/>
      <c r="M14" s="43" t="s">
        <v>1154</v>
      </c>
      <c r="N14" s="1237"/>
      <c r="O14" s="179"/>
      <c r="P14" s="180"/>
      <c r="Q14" s="59"/>
      <c r="R14" s="19"/>
      <c r="S14" s="59" t="s">
        <v>36</v>
      </c>
      <c r="T14" s="59"/>
      <c r="U14" s="59"/>
      <c r="V14" s="168">
        <v>2</v>
      </c>
      <c r="W14" s="1257"/>
      <c r="X14" s="17"/>
      <c r="Y14" s="65"/>
      <c r="Z14" s="65"/>
      <c r="AA14" s="22"/>
    </row>
    <row r="15" spans="2:37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71"/>
      <c r="K15" s="13"/>
      <c r="L15" s="59"/>
      <c r="M15" s="1329" t="s">
        <v>1178</v>
      </c>
      <c r="N15" s="1330"/>
      <c r="O15" s="43"/>
      <c r="Q15" s="59"/>
      <c r="R15" s="12"/>
      <c r="S15" s="6" t="s">
        <v>220</v>
      </c>
      <c r="T15" s="71"/>
      <c r="U15" s="71"/>
      <c r="V15" s="71"/>
      <c r="W15" s="71"/>
      <c r="X15" s="71"/>
      <c r="Y15" s="71"/>
      <c r="Z15" s="71"/>
      <c r="AA15" s="13"/>
    </row>
    <row r="16" spans="2:37" x14ac:dyDescent="0.3">
      <c r="B16" s="4"/>
      <c r="C16" s="59"/>
      <c r="D16" s="59"/>
      <c r="E16" s="117">
        <f>F31*0.99</f>
        <v>64.349999999999994</v>
      </c>
      <c r="F16" s="59"/>
      <c r="G16" s="59"/>
      <c r="H16" s="59"/>
      <c r="I16" s="59"/>
      <c r="J16" s="59"/>
      <c r="K16" s="18"/>
      <c r="L16" s="514"/>
      <c r="M16" s="1240" t="s">
        <v>1035</v>
      </c>
      <c r="N16" s="1008">
        <v>422</v>
      </c>
      <c r="Q16" s="59"/>
      <c r="R16" s="4"/>
      <c r="S16" s="59"/>
      <c r="T16" s="59"/>
      <c r="U16" s="117">
        <v>60</v>
      </c>
      <c r="V16" s="59"/>
      <c r="W16" s="59"/>
      <c r="X16" s="59"/>
      <c r="Y16" s="59"/>
      <c r="Z16" s="59"/>
      <c r="AA16" s="18"/>
      <c r="AC16" s="60"/>
    </row>
    <row r="17" spans="2:29" x14ac:dyDescent="0.3">
      <c r="B17" s="4"/>
      <c r="C17" s="59"/>
      <c r="D17" s="59"/>
      <c r="E17" s="126" t="str">
        <f>"( "&amp;N7&amp;" )"</f>
        <v>( 20 )</v>
      </c>
      <c r="F17" s="59"/>
      <c r="G17" s="59"/>
      <c r="H17" s="59"/>
      <c r="I17" s="59"/>
      <c r="J17" s="59"/>
      <c r="K17" s="18"/>
      <c r="L17" s="514"/>
      <c r="M17" s="1007" t="s">
        <v>1036</v>
      </c>
      <c r="N17" s="856">
        <v>277</v>
      </c>
      <c r="Q17" s="59"/>
      <c r="R17" s="4"/>
      <c r="S17" s="59"/>
      <c r="T17" s="59"/>
      <c r="U17" s="126" t="str">
        <f>"( "&amp;AC6&amp;" )"</f>
        <v>( 20 )</v>
      </c>
      <c r="V17" s="59"/>
      <c r="W17" s="59"/>
      <c r="X17" s="59"/>
      <c r="Y17" s="59"/>
      <c r="Z17" s="59"/>
      <c r="AA17" s="18"/>
      <c r="AC17" s="60"/>
    </row>
    <row r="18" spans="2:29" x14ac:dyDescent="0.3">
      <c r="B18" s="4"/>
      <c r="C18" s="59"/>
      <c r="D18" s="59"/>
      <c r="E18" s="168"/>
      <c r="F18" s="17"/>
      <c r="G18" s="17"/>
      <c r="H18" s="59"/>
      <c r="I18" s="59"/>
      <c r="J18" s="59"/>
      <c r="K18" s="18"/>
      <c r="L18" s="514"/>
      <c r="M18" s="980" t="s">
        <v>1034</v>
      </c>
      <c r="N18" s="856">
        <v>188</v>
      </c>
      <c r="R18" s="4"/>
      <c r="S18" s="59"/>
      <c r="T18" s="59"/>
      <c r="U18" s="168"/>
      <c r="V18" s="17"/>
      <c r="W18" s="17"/>
      <c r="X18" s="59"/>
      <c r="Y18" s="59"/>
      <c r="Z18" s="59"/>
      <c r="AA18" s="18"/>
      <c r="AC18" s="1096"/>
    </row>
    <row r="19" spans="2:29" ht="15.6" x14ac:dyDescent="0.3">
      <c r="B19" s="4"/>
      <c r="C19" s="59"/>
      <c r="D19" s="59"/>
      <c r="E19" s="59"/>
      <c r="F19" s="17"/>
      <c r="G19" s="17"/>
      <c r="H19" s="59"/>
      <c r="I19" s="59"/>
      <c r="J19" s="59"/>
      <c r="K19" s="18"/>
      <c r="L19" s="514"/>
      <c r="M19" s="980" t="s">
        <v>260</v>
      </c>
      <c r="N19" s="856">
        <v>52</v>
      </c>
      <c r="O19" s="43"/>
      <c r="R19" s="4"/>
      <c r="S19" s="59"/>
      <c r="T19" s="59"/>
      <c r="U19" s="59"/>
      <c r="V19" s="17"/>
      <c r="W19" s="17"/>
      <c r="X19" s="59"/>
      <c r="Y19" s="59"/>
      <c r="Z19" s="59"/>
      <c r="AA19" s="18"/>
      <c r="AC19" s="179"/>
    </row>
    <row r="20" spans="2:29" ht="15.6" x14ac:dyDescent="0.3">
      <c r="B20" s="4"/>
      <c r="C20" s="59"/>
      <c r="D20" s="59"/>
      <c r="E20" s="59"/>
      <c r="F20" s="17"/>
      <c r="G20" s="17"/>
      <c r="H20" s="59"/>
      <c r="I20" s="59"/>
      <c r="J20" s="59"/>
      <c r="K20" s="10"/>
      <c r="L20" s="59"/>
      <c r="M20" s="980" t="s">
        <v>261</v>
      </c>
      <c r="N20" s="856">
        <v>362</v>
      </c>
      <c r="O20" s="43"/>
      <c r="P20" s="43"/>
      <c r="R20" s="4"/>
      <c r="S20" s="59"/>
      <c r="T20" s="59"/>
      <c r="U20" s="59"/>
      <c r="V20" s="17"/>
      <c r="W20" s="17"/>
      <c r="X20" s="59"/>
      <c r="Y20" s="59"/>
      <c r="Z20" s="59"/>
      <c r="AA20" s="10"/>
      <c r="AC20" s="179"/>
    </row>
    <row r="21" spans="2:29" ht="16.2" thickBot="1" x14ac:dyDescent="0.35">
      <c r="B21" s="83"/>
      <c r="C21" s="117" t="str">
        <f>"Ø "&amp;ROUNDUP(E31*0.99,0)</f>
        <v>Ø 316</v>
      </c>
      <c r="D21" s="85" t="s">
        <v>277</v>
      </c>
      <c r="E21" s="347">
        <f>E32</f>
        <v>140</v>
      </c>
      <c r="F21" s="17"/>
      <c r="G21" s="17"/>
      <c r="H21" s="59"/>
      <c r="I21" s="59"/>
      <c r="J21" s="84" t="str">
        <f>"Ø "&amp;ROUNDUP(E30*0.99,0)</f>
        <v>Ø 228</v>
      </c>
      <c r="K21" s="10"/>
      <c r="L21" s="59"/>
      <c r="M21" s="1239" t="s">
        <v>12</v>
      </c>
      <c r="N21" s="1238">
        <v>9.1</v>
      </c>
      <c r="O21" s="43"/>
      <c r="R21" s="83"/>
      <c r="S21" s="117" t="str">
        <f>"Ø "&amp;ROUNDUP(U31*0.99,0)</f>
        <v>Ø 355</v>
      </c>
      <c r="T21" s="85" t="s">
        <v>277</v>
      </c>
      <c r="U21" s="347">
        <f>U32</f>
        <v>150</v>
      </c>
      <c r="V21" s="17"/>
      <c r="W21" s="17"/>
      <c r="X21" s="59"/>
      <c r="Y21" s="59"/>
      <c r="Z21" s="84" t="str">
        <f>"Ø"&amp;ROUNDUP(U30*0.99,0)</f>
        <v>Ø208</v>
      </c>
      <c r="AA21" s="10"/>
      <c r="AC21" s="179"/>
    </row>
    <row r="22" spans="2:29" ht="16.2" thickBot="1" x14ac:dyDescent="0.35">
      <c r="B22" s="4"/>
      <c r="C22" s="126" t="str">
        <f>"( "&amp;N4&amp;" )"</f>
        <v>( 310 )</v>
      </c>
      <c r="D22" s="59"/>
      <c r="E22" s="169" t="str">
        <f>"( "&amp;N6&amp;" )"</f>
        <v>( 160 )</v>
      </c>
      <c r="F22" s="17"/>
      <c r="G22" s="17"/>
      <c r="H22" s="59"/>
      <c r="I22" s="59"/>
      <c r="J22" s="170" t="str">
        <f>"( "&amp;N5&amp;" )"</f>
        <v>( 200 )</v>
      </c>
      <c r="K22" s="10"/>
      <c r="L22" s="59"/>
      <c r="M22" s="1242"/>
      <c r="N22" s="859">
        <f>((N16*N16-N18*N18)*3.1415926*N19*N21+(N17*N17-N18*N18)*(N20-N19)*N21*3.1415926)/4000000</f>
        <v>144.74232332664195</v>
      </c>
      <c r="O22" s="43"/>
      <c r="R22" s="4"/>
      <c r="S22" s="126" t="str">
        <f>"( "&amp;AC3&amp;" )"</f>
        <v>( 310 )</v>
      </c>
      <c r="T22" s="59"/>
      <c r="U22" s="169" t="str">
        <f>"( "&amp;AC5&amp;" )"</f>
        <v>( 160 )</v>
      </c>
      <c r="V22" s="17"/>
      <c r="W22" s="17"/>
      <c r="X22" s="59"/>
      <c r="Y22" s="59"/>
      <c r="Z22" s="170" t="str">
        <f>"( "&amp;AC4&amp;" )"</f>
        <v>( 200 )</v>
      </c>
      <c r="AA22" s="10"/>
      <c r="AC22" s="179"/>
    </row>
    <row r="23" spans="2:29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14"/>
      <c r="M23" s="858" t="s">
        <v>19</v>
      </c>
      <c r="N23" s="1235">
        <f>IF(N22&gt;=100,ROUNDUP(N22,0),ROUNDUP(N22,1))</f>
        <v>145</v>
      </c>
      <c r="O23" s="43"/>
      <c r="R23" s="4"/>
      <c r="S23" s="59"/>
      <c r="T23" s="59"/>
      <c r="U23" s="59"/>
      <c r="V23" s="17"/>
      <c r="W23" s="17"/>
      <c r="X23" s="59"/>
      <c r="Y23" s="59"/>
      <c r="Z23" s="59"/>
      <c r="AA23" s="18"/>
      <c r="AC23" s="60"/>
    </row>
    <row r="24" spans="2:29" x14ac:dyDescent="0.3">
      <c r="B24" s="4"/>
      <c r="C24" s="59"/>
      <c r="D24" s="59"/>
      <c r="E24" s="59"/>
      <c r="F24" s="17"/>
      <c r="G24" s="17"/>
      <c r="H24" s="59"/>
      <c r="I24" s="59"/>
      <c r="J24" s="59"/>
      <c r="K24" s="18"/>
      <c r="L24" s="514"/>
      <c r="M24" s="25"/>
      <c r="N24" s="43"/>
      <c r="O24" s="43"/>
      <c r="R24" s="4"/>
      <c r="S24" s="59"/>
      <c r="T24" s="59"/>
      <c r="U24" s="59"/>
      <c r="V24" s="17"/>
      <c r="W24" s="17"/>
      <c r="X24" s="59"/>
      <c r="Y24" s="59"/>
      <c r="Z24" s="59"/>
      <c r="AA24" s="18"/>
      <c r="AC24" s="60"/>
    </row>
    <row r="25" spans="2:29" x14ac:dyDescent="0.3">
      <c r="B25" s="4"/>
      <c r="C25" s="59"/>
      <c r="D25" s="59"/>
      <c r="E25" s="59"/>
      <c r="F25" s="17"/>
      <c r="G25" s="17"/>
      <c r="H25" s="59"/>
      <c r="I25" s="59"/>
      <c r="J25" s="59"/>
      <c r="K25" s="18"/>
      <c r="L25" s="514"/>
      <c r="M25" s="25"/>
      <c r="N25" s="43"/>
      <c r="O25" s="43"/>
      <c r="R25" s="4"/>
      <c r="S25" s="59"/>
      <c r="T25" s="59"/>
      <c r="U25" s="59"/>
      <c r="V25" s="17"/>
      <c r="W25" s="17"/>
      <c r="X25" s="59"/>
      <c r="Y25" s="59"/>
      <c r="Z25" s="59"/>
      <c r="AA25" s="18"/>
      <c r="AC25" s="60"/>
    </row>
    <row r="26" spans="2:29" x14ac:dyDescent="0.3">
      <c r="B26" s="4"/>
      <c r="C26" s="59"/>
      <c r="D26" s="59"/>
      <c r="E26" s="59"/>
      <c r="F26" s="86">
        <f>P7</f>
        <v>285</v>
      </c>
      <c r="G26" s="86"/>
      <c r="H26" s="59"/>
      <c r="I26" s="59"/>
      <c r="J26" s="59"/>
      <c r="K26" s="18"/>
      <c r="L26" s="514"/>
      <c r="M26" s="25"/>
      <c r="N26" s="43"/>
      <c r="O26" s="43"/>
      <c r="R26" s="4"/>
      <c r="S26" s="59"/>
      <c r="T26" s="59"/>
      <c r="U26" s="59"/>
      <c r="V26" s="115">
        <f>AC8</f>
        <v>285</v>
      </c>
      <c r="W26" s="86"/>
      <c r="X26" s="59"/>
      <c r="Y26" s="59"/>
      <c r="Z26" s="59"/>
      <c r="AA26" s="18"/>
    </row>
    <row r="27" spans="2:29" ht="15" thickBot="1" x14ac:dyDescent="0.35">
      <c r="B27" s="19"/>
      <c r="C27" s="65"/>
      <c r="D27" s="65"/>
      <c r="E27" s="65"/>
      <c r="F27" s="171" t="str">
        <f>"( "&amp;N8&amp;" )"</f>
        <v>( 250 )</v>
      </c>
      <c r="G27" s="171"/>
      <c r="H27" s="65"/>
      <c r="I27" s="65"/>
      <c r="J27" s="65"/>
      <c r="K27" s="1210"/>
      <c r="L27" s="514"/>
      <c r="M27" s="25"/>
      <c r="N27" s="43"/>
      <c r="O27" s="43"/>
      <c r="R27" s="19"/>
      <c r="S27" s="65"/>
      <c r="T27" s="65"/>
      <c r="U27" s="65"/>
      <c r="V27" s="125" t="str">
        <f>"( "&amp;AC7&amp;" )"</f>
        <v>( 250 )</v>
      </c>
      <c r="W27" s="171"/>
      <c r="X27" s="65"/>
      <c r="Y27" s="65"/>
      <c r="Z27" s="65"/>
      <c r="AA27" s="22"/>
    </row>
    <row r="28" spans="2:29" ht="15" thickBot="1" x14ac:dyDescent="0.35">
      <c r="B28" s="1"/>
      <c r="C28" s="2"/>
      <c r="D28" s="2"/>
      <c r="E28" s="87" t="s">
        <v>278</v>
      </c>
      <c r="F28" s="2"/>
      <c r="G28" s="71"/>
      <c r="H28" s="71"/>
      <c r="I28" s="71"/>
      <c r="J28" s="71"/>
      <c r="K28" s="204"/>
      <c r="L28" s="514"/>
      <c r="M28" s="25"/>
      <c r="N28" s="43"/>
      <c r="O28" s="43"/>
      <c r="R28" s="1"/>
      <c r="S28" s="2"/>
      <c r="T28" s="2"/>
      <c r="U28" s="87" t="s">
        <v>278</v>
      </c>
      <c r="V28" s="2"/>
      <c r="W28" s="71"/>
      <c r="X28" s="71"/>
      <c r="Y28" s="71"/>
      <c r="Z28" s="71"/>
      <c r="AA28" s="343"/>
    </row>
    <row r="29" spans="2:29" ht="15" thickBot="1" x14ac:dyDescent="0.35">
      <c r="B29" s="89" t="s">
        <v>279</v>
      </c>
      <c r="C29" s="2"/>
      <c r="D29" s="2"/>
      <c r="E29" s="90" t="s">
        <v>203</v>
      </c>
      <c r="F29" s="1624" t="s">
        <v>88</v>
      </c>
      <c r="G29" s="1625"/>
      <c r="H29" s="1572" t="s">
        <v>469</v>
      </c>
      <c r="I29" s="1574"/>
      <c r="J29" s="1573"/>
      <c r="K29" s="93" t="s">
        <v>280</v>
      </c>
      <c r="L29" s="1241"/>
      <c r="M29" s="25"/>
      <c r="N29" s="43"/>
      <c r="O29" s="43"/>
      <c r="R29" s="89" t="s">
        <v>279</v>
      </c>
      <c r="S29" s="2"/>
      <c r="T29" s="2"/>
      <c r="U29" s="90" t="s">
        <v>203</v>
      </c>
      <c r="V29" s="381" t="s">
        <v>88</v>
      </c>
      <c r="W29" s="381"/>
      <c r="X29" s="89" t="s">
        <v>469</v>
      </c>
      <c r="Y29" s="2"/>
      <c r="Z29" s="382"/>
      <c r="AA29" s="93" t="s">
        <v>280</v>
      </c>
    </row>
    <row r="30" spans="2:29" x14ac:dyDescent="0.3">
      <c r="B30" s="94" t="s">
        <v>427</v>
      </c>
      <c r="C30" s="59"/>
      <c r="D30" s="59"/>
      <c r="E30" s="345">
        <f>P4</f>
        <v>230</v>
      </c>
      <c r="F30" s="761">
        <f>P5</f>
        <v>380</v>
      </c>
      <c r="G30" s="762"/>
      <c r="H30" s="1626">
        <v>10255800</v>
      </c>
      <c r="I30" s="1627"/>
      <c r="J30" s="1628"/>
      <c r="K30" s="18"/>
      <c r="L30" s="514"/>
      <c r="M30" s="25"/>
      <c r="N30" s="43"/>
      <c r="O30" s="43"/>
      <c r="R30" s="94" t="s">
        <v>427</v>
      </c>
      <c r="S30" s="59"/>
      <c r="T30" s="59"/>
      <c r="U30" s="95">
        <v>210</v>
      </c>
      <c r="V30" s="345">
        <v>320</v>
      </c>
      <c r="W30" s="345"/>
      <c r="X30" s="383" t="str">
        <f>VLOOKUP(U31,кок_с_буртом,7)</f>
        <v>7249282 - 3</v>
      </c>
      <c r="Y30" s="59"/>
      <c r="Z30" s="10"/>
      <c r="AA30" s="18"/>
    </row>
    <row r="31" spans="2:29" x14ac:dyDescent="0.3">
      <c r="B31" s="4"/>
      <c r="C31" s="59"/>
      <c r="D31" s="59"/>
      <c r="E31" s="345">
        <f>P3</f>
        <v>319</v>
      </c>
      <c r="F31" s="345">
        <f>P6</f>
        <v>65</v>
      </c>
      <c r="G31" s="118"/>
      <c r="H31" s="59"/>
      <c r="I31" s="59"/>
      <c r="J31" s="10"/>
      <c r="K31" s="18"/>
      <c r="L31" s="514"/>
      <c r="M31" s="25"/>
      <c r="N31" s="43"/>
      <c r="O31" s="43"/>
      <c r="R31" s="4"/>
      <c r="S31" s="59"/>
      <c r="T31" s="59"/>
      <c r="U31" s="95">
        <v>358</v>
      </c>
      <c r="V31" s="345">
        <v>38</v>
      </c>
      <c r="W31" s="345"/>
      <c r="X31" s="4"/>
      <c r="Y31" s="59"/>
      <c r="Z31" s="10"/>
      <c r="AA31" s="18"/>
    </row>
    <row r="32" spans="2:29" x14ac:dyDescent="0.3">
      <c r="B32" s="94" t="s">
        <v>282</v>
      </c>
      <c r="C32" s="59"/>
      <c r="D32" s="59"/>
      <c r="E32" s="345">
        <f>P9</f>
        <v>140</v>
      </c>
      <c r="F32" s="345"/>
      <c r="G32" s="118"/>
      <c r="H32" s="59" t="str">
        <f ca="1">VLOOKUP(Данные!AP27,Данные!AO4:AP23,2)&amp;" - "&amp;RANDBETWEEN(1,15)</f>
        <v>72.11879 - 10</v>
      </c>
      <c r="I32" s="59"/>
      <c r="J32" s="10"/>
      <c r="K32" s="18"/>
      <c r="L32" s="514"/>
      <c r="M32" s="25"/>
      <c r="N32" s="43"/>
      <c r="O32" s="43"/>
      <c r="R32" s="94" t="s">
        <v>282</v>
      </c>
      <c r="S32" s="59"/>
      <c r="T32" s="59"/>
      <c r="U32" s="95">
        <v>150</v>
      </c>
      <c r="V32" s="345"/>
      <c r="W32" s="345"/>
      <c r="X32" s="4" t="str">
        <f ca="1">H32</f>
        <v>72.11879 - 10</v>
      </c>
      <c r="Y32" s="59"/>
      <c r="Z32" s="10"/>
      <c r="AA32" s="18"/>
    </row>
    <row r="33" spans="2:27" x14ac:dyDescent="0.3">
      <c r="B33" s="94" t="s">
        <v>283</v>
      </c>
      <c r="C33" s="59"/>
      <c r="D33" s="59"/>
      <c r="E33" s="345">
        <f>E30</f>
        <v>230</v>
      </c>
      <c r="F33" s="345">
        <v>40</v>
      </c>
      <c r="G33" s="118"/>
      <c r="H33" s="59" t="str">
        <f>VLOOKUP(E33,Данные!AD79:AL1156,9)</f>
        <v>72.47214 - 52</v>
      </c>
      <c r="I33" s="59"/>
      <c r="J33" s="10"/>
      <c r="K33" s="18"/>
      <c r="L33" s="514"/>
      <c r="M33" s="25"/>
      <c r="N33" s="43"/>
      <c r="O33" s="43"/>
      <c r="R33" s="94" t="s">
        <v>283</v>
      </c>
      <c r="S33" s="59"/>
      <c r="T33" s="59"/>
      <c r="U33" s="95">
        <f>U30</f>
        <v>210</v>
      </c>
      <c r="V33" s="345">
        <v>30</v>
      </c>
      <c r="W33" s="345"/>
      <c r="X33" s="4" t="str">
        <f>H33</f>
        <v>72.47214 - 52</v>
      </c>
      <c r="Y33" s="59"/>
      <c r="Z33" s="10"/>
      <c r="AA33" s="18"/>
    </row>
    <row r="34" spans="2:27" x14ac:dyDescent="0.3">
      <c r="B34" s="94" t="s">
        <v>284</v>
      </c>
      <c r="C34" s="59"/>
      <c r="D34" s="59"/>
      <c r="E34" s="345"/>
      <c r="F34" s="345">
        <f>F30-F36-F33</f>
        <v>50</v>
      </c>
      <c r="G34" s="118"/>
      <c r="H34" s="59"/>
      <c r="I34" s="59"/>
      <c r="J34" s="10"/>
      <c r="K34" s="18"/>
      <c r="L34" s="514"/>
      <c r="M34" s="25"/>
      <c r="N34" s="43"/>
      <c r="O34" s="43"/>
      <c r="R34" s="94" t="s">
        <v>284</v>
      </c>
      <c r="S34" s="59"/>
      <c r="T34" s="59"/>
      <c r="U34" s="95"/>
      <c r="V34" s="345">
        <f>V30-V36-V33</f>
        <v>0</v>
      </c>
      <c r="W34" s="345"/>
      <c r="X34" s="4"/>
      <c r="Y34" s="59"/>
      <c r="Z34" s="10"/>
      <c r="AA34" s="18"/>
    </row>
    <row r="35" spans="2:27" ht="15" thickBot="1" x14ac:dyDescent="0.35">
      <c r="B35" s="4"/>
      <c r="C35" s="59"/>
      <c r="D35" s="59"/>
      <c r="E35" s="346"/>
      <c r="F35" s="346"/>
      <c r="G35" s="763"/>
      <c r="H35" s="65"/>
      <c r="I35" s="65"/>
      <c r="J35" s="40"/>
      <c r="K35" s="18"/>
      <c r="L35" s="514"/>
      <c r="M35" s="25"/>
      <c r="N35" s="43"/>
      <c r="O35" s="43"/>
      <c r="R35" s="4"/>
      <c r="S35" s="59"/>
      <c r="T35" s="59"/>
      <c r="U35" s="97"/>
      <c r="V35" s="346"/>
      <c r="W35" s="346"/>
      <c r="X35" s="19"/>
      <c r="Y35" s="65"/>
      <c r="Z35" s="40"/>
      <c r="AA35" s="18"/>
    </row>
    <row r="36" spans="2:27" x14ac:dyDescent="0.3">
      <c r="B36" s="12"/>
      <c r="C36" s="6" t="s">
        <v>285</v>
      </c>
      <c r="D36" s="71"/>
      <c r="E36" s="59"/>
      <c r="F36" s="16">
        <f>CEILING(F26/0.985,1)</f>
        <v>290</v>
      </c>
      <c r="G36" s="16"/>
      <c r="H36" s="59"/>
      <c r="I36" s="59"/>
      <c r="J36" s="59"/>
      <c r="K36" s="13"/>
      <c r="L36" s="59"/>
      <c r="M36" s="25"/>
      <c r="N36" s="43"/>
      <c r="O36" s="43"/>
      <c r="R36" s="12"/>
      <c r="S36" s="6" t="s">
        <v>285</v>
      </c>
      <c r="T36" s="71"/>
      <c r="U36" s="59"/>
      <c r="V36" s="16">
        <f>CEILING(V26/0.985,1)</f>
        <v>290</v>
      </c>
      <c r="W36" s="16"/>
      <c r="X36" s="59"/>
      <c r="Y36" s="59"/>
      <c r="Z36" s="59"/>
      <c r="AA36" s="13"/>
    </row>
    <row r="37" spans="2:27" ht="15" thickBot="1" x14ac:dyDescent="0.35">
      <c r="B37" s="19"/>
      <c r="C37" s="65"/>
      <c r="D37" s="65"/>
      <c r="E37" s="65"/>
      <c r="F37" s="65"/>
      <c r="G37" s="65"/>
      <c r="H37" s="65"/>
      <c r="I37" s="65"/>
      <c r="J37" s="65"/>
      <c r="K37" s="40"/>
      <c r="L37" s="59"/>
      <c r="M37" s="25"/>
      <c r="N37" s="43"/>
      <c r="O37" s="43"/>
      <c r="R37" s="19"/>
      <c r="S37" s="65"/>
      <c r="T37" s="65"/>
      <c r="U37" s="65"/>
      <c r="V37" s="65"/>
      <c r="W37" s="65"/>
      <c r="X37" s="65"/>
      <c r="Y37" s="65"/>
      <c r="Z37" s="65"/>
      <c r="AA37" s="40"/>
    </row>
    <row r="38" spans="2:27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1"/>
      <c r="E38" s="71"/>
      <c r="F38" s="99"/>
      <c r="G38" s="99"/>
      <c r="H38" s="71"/>
      <c r="I38" s="71"/>
      <c r="J38" s="71"/>
      <c r="K38" s="100"/>
      <c r="L38" s="514"/>
      <c r="M38" s="25"/>
      <c r="N38" s="43"/>
      <c r="O38" s="43"/>
      <c r="R38" s="12"/>
      <c r="S38" s="6" t="str">
        <f>"Плавка по инструкции "&amp;VLOOKUP(V8,Данные!A3:I27,6,FALSE)</f>
        <v>Плавка по инструкции 25010.00173</v>
      </c>
      <c r="T38" s="71"/>
      <c r="U38" s="71"/>
      <c r="V38" s="99"/>
      <c r="W38" s="99"/>
      <c r="X38" s="71"/>
      <c r="Y38" s="71"/>
      <c r="Z38" s="71"/>
      <c r="AA38" s="100"/>
    </row>
    <row r="39" spans="2:27" ht="15" thickBot="1" x14ac:dyDescent="0.35">
      <c r="B39" s="4"/>
      <c r="C39" s="11" t="s">
        <v>286</v>
      </c>
      <c r="D39" s="59"/>
      <c r="E39" s="59"/>
      <c r="F39" s="17"/>
      <c r="G39" s="17"/>
      <c r="H39" s="59"/>
      <c r="I39" s="59"/>
      <c r="J39" s="59"/>
      <c r="K39" s="18"/>
      <c r="L39" s="514"/>
      <c r="M39" s="59"/>
      <c r="N39" s="43"/>
      <c r="O39" s="43"/>
      <c r="R39" s="4"/>
      <c r="S39" s="11" t="s">
        <v>286</v>
      </c>
      <c r="T39" s="59"/>
      <c r="U39" s="59"/>
      <c r="V39" s="17"/>
      <c r="W39" s="17"/>
      <c r="X39" s="59"/>
      <c r="Y39" s="59"/>
      <c r="Z39" s="59"/>
      <c r="AA39" s="18"/>
    </row>
    <row r="40" spans="2:27" x14ac:dyDescent="0.3">
      <c r="B40" s="12"/>
      <c r="C40" s="6" t="s">
        <v>287</v>
      </c>
      <c r="D40" s="71"/>
      <c r="E40" s="71"/>
      <c r="F40" s="101"/>
      <c r="G40" s="101"/>
      <c r="H40" s="71"/>
      <c r="I40" s="71"/>
      <c r="J40" s="71"/>
      <c r="K40" s="13"/>
      <c r="L40" s="59"/>
      <c r="M40" s="59"/>
      <c r="N40" s="43"/>
      <c r="O40" s="43"/>
      <c r="R40" s="12"/>
      <c r="S40" s="6" t="s">
        <v>287</v>
      </c>
      <c r="T40" s="71"/>
      <c r="U40" s="71"/>
      <c r="V40" s="101"/>
      <c r="W40" s="101"/>
      <c r="X40" s="71"/>
      <c r="Y40" s="71"/>
      <c r="Z40" s="71"/>
      <c r="AA40" s="13"/>
    </row>
    <row r="41" spans="2:27" x14ac:dyDescent="0.3">
      <c r="B41" s="4"/>
      <c r="C41" s="11" t="s">
        <v>288</v>
      </c>
      <c r="D41" s="59"/>
      <c r="E41" s="59"/>
      <c r="F41" s="17"/>
      <c r="G41" s="17"/>
      <c r="H41" s="59"/>
      <c r="I41" s="59"/>
      <c r="J41" s="59"/>
      <c r="K41" s="10"/>
      <c r="L41" s="59"/>
      <c r="M41" s="59"/>
      <c r="N41" s="43"/>
      <c r="O41" s="43"/>
      <c r="R41" s="4"/>
      <c r="S41" s="11" t="s">
        <v>288</v>
      </c>
      <c r="T41" s="59"/>
      <c r="U41" s="59"/>
      <c r="V41" s="17"/>
      <c r="W41" s="17"/>
      <c r="X41" s="59"/>
      <c r="Y41" s="59"/>
      <c r="Z41" s="59"/>
      <c r="AA41" s="10"/>
    </row>
    <row r="42" spans="2:27" x14ac:dyDescent="0.3">
      <c r="B42" s="4"/>
      <c r="C42" s="11" t="s">
        <v>289</v>
      </c>
      <c r="D42" s="59"/>
      <c r="E42" s="59"/>
      <c r="F42" s="17"/>
      <c r="G42" s="17"/>
      <c r="H42" s="59"/>
      <c r="I42" s="59"/>
      <c r="J42" s="59"/>
      <c r="K42" s="10"/>
      <c r="L42" s="59"/>
      <c r="M42" s="59"/>
      <c r="N42" s="43"/>
      <c r="O42" s="43"/>
      <c r="R42" s="4"/>
      <c r="S42" s="11" t="s">
        <v>289</v>
      </c>
      <c r="T42" s="59"/>
      <c r="U42" s="59"/>
      <c r="V42" s="17"/>
      <c r="W42" s="17"/>
      <c r="X42" s="59"/>
      <c r="Y42" s="59"/>
      <c r="Z42" s="59"/>
      <c r="AA42" s="10"/>
    </row>
    <row r="43" spans="2:27" ht="15" thickBot="1" x14ac:dyDescent="0.35">
      <c r="B43" s="19"/>
      <c r="C43" s="65"/>
      <c r="D43" s="65"/>
      <c r="E43" s="65"/>
      <c r="F43" s="65"/>
      <c r="G43" s="65"/>
      <c r="H43" s="65"/>
      <c r="I43" s="65"/>
      <c r="J43" s="65"/>
      <c r="K43" s="40"/>
      <c r="L43" s="59"/>
      <c r="M43" s="59"/>
      <c r="N43" s="43"/>
      <c r="O43" s="43"/>
      <c r="R43" s="19"/>
      <c r="S43" s="65"/>
      <c r="T43" s="65"/>
      <c r="U43" s="65"/>
      <c r="V43" s="65"/>
      <c r="W43" s="65"/>
      <c r="X43" s="65"/>
      <c r="Y43" s="65"/>
      <c r="Z43" s="65"/>
      <c r="AA43" s="40"/>
    </row>
    <row r="44" spans="2:27" ht="15" thickBot="1" x14ac:dyDescent="0.35">
      <c r="B44" s="1"/>
      <c r="C44" s="87" t="s">
        <v>290</v>
      </c>
      <c r="D44" s="80"/>
      <c r="E44" s="90" t="s">
        <v>291</v>
      </c>
      <c r="F44" s="87" t="s">
        <v>292</v>
      </c>
      <c r="G44" s="87"/>
      <c r="H44" s="90" t="s">
        <v>293</v>
      </c>
      <c r="I44" s="92" t="s">
        <v>294</v>
      </c>
      <c r="J44" s="92"/>
      <c r="K44" s="90" t="s">
        <v>293</v>
      </c>
      <c r="L44" s="11"/>
      <c r="M44" s="59"/>
      <c r="N44" s="43"/>
      <c r="O44" s="43"/>
      <c r="R44" s="1"/>
      <c r="S44" s="87" t="s">
        <v>290</v>
      </c>
      <c r="T44" s="80"/>
      <c r="U44" s="90" t="s">
        <v>291</v>
      </c>
      <c r="V44" s="87" t="s">
        <v>292</v>
      </c>
      <c r="W44" s="87"/>
      <c r="X44" s="90" t="s">
        <v>293</v>
      </c>
      <c r="Y44" s="92" t="s">
        <v>294</v>
      </c>
      <c r="Z44" s="92"/>
      <c r="AA44" s="90" t="s">
        <v>293</v>
      </c>
    </row>
    <row r="45" spans="2:27" ht="15" thickBot="1" x14ac:dyDescent="0.35">
      <c r="B45" s="1621">
        <f ca="1">TODAY()</f>
        <v>45428</v>
      </c>
      <c r="C45" s="1622"/>
      <c r="D45" s="1623"/>
      <c r="E45" s="91" t="s">
        <v>264</v>
      </c>
      <c r="F45" s="87" t="s">
        <v>265</v>
      </c>
      <c r="G45" s="87"/>
      <c r="H45" s="103"/>
      <c r="I45" s="2"/>
      <c r="J45" s="2"/>
      <c r="K45" s="103"/>
      <c r="L45" s="59"/>
      <c r="M45" s="59"/>
      <c r="N45" s="43"/>
      <c r="O45" s="43"/>
      <c r="R45" s="1621">
        <f ca="1">TODAY()</f>
        <v>45428</v>
      </c>
      <c r="S45" s="1622"/>
      <c r="T45" s="1623"/>
      <c r="U45" s="91" t="s">
        <v>264</v>
      </c>
      <c r="V45" s="87" t="s">
        <v>265</v>
      </c>
      <c r="W45" s="87"/>
      <c r="X45" s="103"/>
      <c r="Y45" s="2"/>
      <c r="Z45" s="2"/>
      <c r="AA45" s="103"/>
    </row>
    <row r="46" spans="2:27" ht="15" thickBot="1" x14ac:dyDescent="0.35">
      <c r="B46" s="1"/>
      <c r="C46" s="92" t="s">
        <v>70</v>
      </c>
      <c r="D46" s="80"/>
      <c r="E46" s="74"/>
      <c r="F46" s="2"/>
      <c r="G46" s="2"/>
      <c r="H46" s="103"/>
      <c r="I46" s="2"/>
      <c r="J46" s="2"/>
      <c r="K46" s="103"/>
      <c r="L46" s="59"/>
      <c r="M46" s="59"/>
      <c r="N46" s="43"/>
      <c r="O46" s="43"/>
      <c r="R46" s="1"/>
      <c r="S46" s="92" t="s">
        <v>70</v>
      </c>
      <c r="T46" s="80"/>
      <c r="U46" s="74"/>
      <c r="V46" s="2"/>
      <c r="W46" s="2"/>
      <c r="X46" s="103"/>
      <c r="Y46" s="2"/>
      <c r="Z46" s="2"/>
      <c r="AA46" s="103"/>
    </row>
    <row r="47" spans="2:27" x14ac:dyDescent="0.3">
      <c r="M47" s="59"/>
      <c r="N47" s="43"/>
      <c r="O47" s="43"/>
    </row>
    <row r="48" spans="2:27" x14ac:dyDescent="0.3">
      <c r="M48" s="59"/>
      <c r="N48" s="43"/>
      <c r="O48" s="43"/>
    </row>
    <row r="49" spans="13:15" x14ac:dyDescent="0.3">
      <c r="M49" s="59"/>
      <c r="N49" s="43"/>
      <c r="O49" s="43"/>
    </row>
    <row r="50" spans="13:15" x14ac:dyDescent="0.3">
      <c r="M50" s="43"/>
      <c r="N50" s="43"/>
      <c r="O50" s="43"/>
    </row>
    <row r="51" spans="13:15" x14ac:dyDescent="0.3">
      <c r="M51" s="43"/>
      <c r="N51" s="43"/>
      <c r="O51" s="43"/>
    </row>
    <row r="52" spans="13:15" x14ac:dyDescent="0.3">
      <c r="M52" s="43"/>
      <c r="N52" s="43"/>
      <c r="O52" s="43"/>
    </row>
    <row r="53" spans="13:15" x14ac:dyDescent="0.3">
      <c r="M53" s="43"/>
      <c r="N53" s="43"/>
      <c r="O53" s="43"/>
    </row>
    <row r="54" spans="13:15" x14ac:dyDescent="0.3">
      <c r="M54" s="43"/>
      <c r="N54" s="43"/>
      <c r="O54" s="43"/>
    </row>
    <row r="55" spans="13:15" x14ac:dyDescent="0.3">
      <c r="O55" s="43"/>
    </row>
  </sheetData>
  <mergeCells count="6">
    <mergeCell ref="B45:D45"/>
    <mergeCell ref="R45:T45"/>
    <mergeCell ref="F29:G29"/>
    <mergeCell ref="H30:J30"/>
    <mergeCell ref="AF2:AJ2"/>
    <mergeCell ref="H29:J29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F8:G8 V8:W8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81"/>
  <sheetViews>
    <sheetView zoomScale="70" zoomScaleNormal="70" workbookViewId="0">
      <selection activeCell="P11" sqref="P11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3.109375" customWidth="1"/>
    <col min="5" max="5" width="19.77734375" customWidth="1"/>
    <col min="6" max="6" width="13.6640625" customWidth="1"/>
    <col min="7" max="7" width="8.6640625" customWidth="1"/>
    <col min="8" max="8" width="8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8.88671875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1169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1097</v>
      </c>
      <c r="L3" s="174" t="s">
        <v>71</v>
      </c>
      <c r="M3" s="174" t="s">
        <v>72</v>
      </c>
      <c r="N3" s="175" t="s">
        <v>322</v>
      </c>
      <c r="O3" s="44"/>
      <c r="Q3" s="1"/>
      <c r="R3" s="2"/>
      <c r="S3" s="2"/>
      <c r="T3" s="41" t="s">
        <v>0</v>
      </c>
      <c r="U3" s="2"/>
      <c r="V3" s="2"/>
      <c r="W3" s="2"/>
      <c r="X3" s="2"/>
      <c r="Y3" s="3" t="s">
        <v>1097</v>
      </c>
    </row>
    <row r="4" spans="2:25" ht="15.6" x14ac:dyDescent="0.3">
      <c r="B4" s="12" t="s">
        <v>2</v>
      </c>
      <c r="C4" s="59"/>
      <c r="D4" s="5"/>
      <c r="E4" s="5"/>
      <c r="F4" s="45" t="s">
        <v>1270</v>
      </c>
      <c r="G4" s="5"/>
      <c r="H4" s="59"/>
      <c r="I4" s="7" t="s">
        <v>73</v>
      </c>
      <c r="J4" s="131">
        <v>25</v>
      </c>
      <c r="L4" s="42" t="s">
        <v>74</v>
      </c>
      <c r="M4" s="172">
        <f>IF(N4=0,VLOOKUP(J$4,Данные!L$3:U$131,8,FALSE()),N4)</f>
        <v>75</v>
      </c>
      <c r="N4" s="58">
        <v>75</v>
      </c>
      <c r="Q4" s="12" t="s">
        <v>2</v>
      </c>
      <c r="R4" s="59"/>
      <c r="S4" s="5"/>
      <c r="T4" s="5"/>
      <c r="U4" s="45" t="s">
        <v>1039</v>
      </c>
      <c r="V4" s="5"/>
      <c r="W4" s="59"/>
      <c r="X4" s="7" t="s">
        <v>73</v>
      </c>
      <c r="Y4" s="131">
        <v>49</v>
      </c>
    </row>
    <row r="5" spans="2:25" ht="15.6" x14ac:dyDescent="0.3">
      <c r="B5" s="4" t="s">
        <v>4</v>
      </c>
      <c r="C5" s="59"/>
      <c r="D5" s="55"/>
      <c r="E5" s="55"/>
      <c r="F5" s="801" t="s">
        <v>1271</v>
      </c>
      <c r="G5" s="800"/>
      <c r="H5" s="55"/>
      <c r="I5" s="55" t="str">
        <f>"("&amp;M4&amp;"x"&amp;M6&amp;"x"&amp;M8&amp;")"</f>
        <v>(75x265x1150)</v>
      </c>
      <c r="J5" s="10"/>
      <c r="L5" s="47" t="s">
        <v>75</v>
      </c>
      <c r="M5" s="172">
        <f>IF(N5=0,VLOOKUP(J$4,Данные!L$3:U$131,9,FALSE()),N5)</f>
        <v>85</v>
      </c>
      <c r="N5" s="58">
        <v>85</v>
      </c>
      <c r="Q5" s="4" t="s">
        <v>4</v>
      </c>
      <c r="R5" s="59"/>
      <c r="S5" s="55"/>
      <c r="T5" s="55"/>
      <c r="U5" s="801" t="s">
        <v>1040</v>
      </c>
      <c r="V5" s="800"/>
      <c r="W5" s="55"/>
      <c r="X5" s="55" t="str">
        <f>I5</f>
        <v>(75x265x1150)</v>
      </c>
      <c r="Y5" s="10"/>
    </row>
    <row r="6" spans="2:25" ht="15.6" x14ac:dyDescent="0.3">
      <c r="B6" s="4" t="s">
        <v>6</v>
      </c>
      <c r="C6" s="59"/>
      <c r="D6" s="55"/>
      <c r="E6" s="55"/>
      <c r="F6" s="800" t="s">
        <v>1208</v>
      </c>
      <c r="G6" s="55"/>
      <c r="H6" s="55"/>
      <c r="I6" s="55"/>
      <c r="J6" s="10"/>
      <c r="L6" s="42" t="s">
        <v>76</v>
      </c>
      <c r="M6" s="172">
        <f>IF(N6=0,VLOOKUP(J$4,Данные!L$3:U$131,5,FALSE()),N6)</f>
        <v>265</v>
      </c>
      <c r="N6" s="58">
        <v>265</v>
      </c>
      <c r="Q6" s="4" t="s">
        <v>6</v>
      </c>
      <c r="R6" s="59"/>
      <c r="S6" s="55"/>
      <c r="T6" s="55"/>
      <c r="U6" s="800" t="s">
        <v>1041</v>
      </c>
      <c r="V6" s="55"/>
      <c r="W6" s="55"/>
      <c r="X6" s="55"/>
      <c r="Y6" s="10"/>
    </row>
    <row r="7" spans="2:25" ht="16.2" thickBot="1" x14ac:dyDescent="0.35">
      <c r="B7" s="19" t="s">
        <v>10</v>
      </c>
      <c r="C7" s="65"/>
      <c r="D7" s="20"/>
      <c r="E7" s="20"/>
      <c r="F7" s="996">
        <v>40</v>
      </c>
      <c r="G7" s="20"/>
      <c r="H7" s="20"/>
      <c r="I7" s="20"/>
      <c r="J7" s="40"/>
      <c r="L7" s="47" t="s">
        <v>77</v>
      </c>
      <c r="M7" s="172">
        <f>IF(N7=0,VLOOKUP(J$4,Данные!L$3:U$131,6,FALSE()),N7)</f>
        <v>280</v>
      </c>
      <c r="N7" s="58">
        <v>280</v>
      </c>
      <c r="Q7" s="19" t="s">
        <v>10</v>
      </c>
      <c r="R7" s="65"/>
      <c r="S7" s="20"/>
      <c r="T7" s="20"/>
      <c r="U7" s="996">
        <v>4</v>
      </c>
      <c r="V7" s="20"/>
      <c r="W7" s="20"/>
      <c r="X7" s="20"/>
      <c r="Y7" s="40"/>
    </row>
    <row r="8" spans="2:25" ht="15.6" x14ac:dyDescent="0.3">
      <c r="B8" s="4" t="s">
        <v>16</v>
      </c>
      <c r="C8" s="55"/>
      <c r="D8" s="55"/>
      <c r="E8" s="55"/>
      <c r="F8" s="575" t="s">
        <v>28</v>
      </c>
      <c r="G8" s="55"/>
      <c r="H8" s="59"/>
      <c r="I8" s="55" t="s">
        <v>17</v>
      </c>
      <c r="J8" s="15">
        <f>F9/F11</f>
        <v>22.010582010582013</v>
      </c>
      <c r="L8" s="42" t="s">
        <v>78</v>
      </c>
      <c r="M8" s="172">
        <f>IF(N8=0,VLOOKUP(J$4,Данные!L$3:U$131,4,FALSE()),N8)</f>
        <v>1150</v>
      </c>
      <c r="N8" s="58">
        <v>1150</v>
      </c>
      <c r="Q8" s="4" t="s">
        <v>16</v>
      </c>
      <c r="R8" s="55"/>
      <c r="S8" s="55"/>
      <c r="T8" s="55"/>
      <c r="U8" s="575" t="s">
        <v>15</v>
      </c>
      <c r="V8" s="55"/>
      <c r="W8" s="59"/>
      <c r="X8" s="55" t="s">
        <v>17</v>
      </c>
      <c r="Y8" s="15">
        <f>U9/U11</f>
        <v>0.38696109358569925</v>
      </c>
    </row>
    <row r="9" spans="2:25" ht="15.6" x14ac:dyDescent="0.3">
      <c r="B9" s="4" t="s">
        <v>19</v>
      </c>
      <c r="C9" s="55"/>
      <c r="D9" s="55"/>
      <c r="E9" s="55"/>
      <c r="F9" s="140">
        <f>IF(M27&lt;&gt;0,M27,IF(M26&gt;=100,ROUNDUP(M26,0),ROUNDUP(M26,1)))</f>
        <v>104</v>
      </c>
      <c r="G9" s="55"/>
      <c r="H9" s="59"/>
      <c r="I9" s="55" t="s">
        <v>23</v>
      </c>
      <c r="J9" s="15">
        <f>F9/F15</f>
        <v>14.197952218430034</v>
      </c>
      <c r="L9" s="1639"/>
      <c r="M9" s="1639"/>
      <c r="N9" s="1515"/>
      <c r="Q9" s="4" t="s">
        <v>19</v>
      </c>
      <c r="R9" s="55"/>
      <c r="S9" s="55"/>
      <c r="T9" s="55"/>
      <c r="U9" s="140">
        <v>9.1999999999999993</v>
      </c>
      <c r="V9" s="55"/>
      <c r="W9" s="59"/>
      <c r="X9" s="55" t="s">
        <v>23</v>
      </c>
      <c r="Y9" s="15">
        <f>U9/U15</f>
        <v>0.25734265734265732</v>
      </c>
    </row>
    <row r="10" spans="2:25" ht="15.6" x14ac:dyDescent="0.3">
      <c r="B10" s="4" t="s">
        <v>22</v>
      </c>
      <c r="C10" s="55"/>
      <c r="D10" s="55"/>
      <c r="E10" s="55"/>
      <c r="F10" s="422">
        <f>IF(M19&lt;100,ROUNDUP(M19,1),ROUNDUP(M19,0))</f>
        <v>189</v>
      </c>
      <c r="G10" s="55"/>
      <c r="H10" s="55"/>
      <c r="I10" s="55"/>
      <c r="J10" s="18"/>
      <c r="L10" s="1640" t="s">
        <v>79</v>
      </c>
      <c r="M10" s="1640"/>
      <c r="N10" s="1515"/>
      <c r="Q10" s="4" t="s">
        <v>22</v>
      </c>
      <c r="R10" s="55"/>
      <c r="S10" s="55"/>
      <c r="T10" s="55"/>
      <c r="U10" s="422">
        <v>95.1</v>
      </c>
      <c r="V10" s="55"/>
      <c r="W10" s="55"/>
      <c r="X10" s="55"/>
      <c r="Y10" s="18"/>
    </row>
    <row r="11" spans="2:25" ht="15.6" x14ac:dyDescent="0.3">
      <c r="B11" s="4" t="s">
        <v>80</v>
      </c>
      <c r="C11" s="55"/>
      <c r="D11" s="55"/>
      <c r="E11" s="55"/>
      <c r="F11" s="422">
        <f>F10/F16</f>
        <v>4.7249999999999996</v>
      </c>
      <c r="G11" s="55"/>
      <c r="H11" s="55"/>
      <c r="I11" s="55"/>
      <c r="J11" s="18"/>
      <c r="L11" s="42" t="s">
        <v>75</v>
      </c>
      <c r="M11" s="172">
        <f>IF(N11=0,VLOOKUP(J$4,Данные!L$3:U$131,9,FALSE()),N11)</f>
        <v>85</v>
      </c>
      <c r="N11" s="58">
        <v>85</v>
      </c>
      <c r="Q11" s="4" t="s">
        <v>80</v>
      </c>
      <c r="R11" s="55"/>
      <c r="S11" s="55"/>
      <c r="T11" s="55"/>
      <c r="U11" s="422">
        <f>U10/U16</f>
        <v>23.774999999999999</v>
      </c>
      <c r="V11" s="55"/>
      <c r="W11" s="55"/>
      <c r="X11" s="55"/>
      <c r="Y11" s="18"/>
    </row>
    <row r="12" spans="2:25" ht="15.6" x14ac:dyDescent="0.3">
      <c r="B12" s="4" t="s">
        <v>27</v>
      </c>
      <c r="C12" s="55"/>
      <c r="D12" s="55"/>
      <c r="E12" s="55"/>
      <c r="F12" s="140">
        <f>IF(M20&lt;100,ROUNDUP(M20,1),ROUNDUP(M20,0))</f>
        <v>281</v>
      </c>
      <c r="G12" s="55"/>
      <c r="H12" s="55"/>
      <c r="I12" s="55"/>
      <c r="J12" s="18"/>
      <c r="L12" s="42" t="s">
        <v>81</v>
      </c>
      <c r="M12" s="172">
        <f>IF(N12=0,VLOOKUP(J$4,Данные!L$3:U$131,10,FALSE()),N12)</f>
        <v>150</v>
      </c>
      <c r="N12" s="58">
        <v>150</v>
      </c>
      <c r="Q12" s="4" t="s">
        <v>27</v>
      </c>
      <c r="R12" s="55"/>
      <c r="S12" s="55"/>
      <c r="T12" s="55"/>
      <c r="U12" s="140">
        <v>137.4</v>
      </c>
      <c r="V12" s="55"/>
      <c r="W12" s="55"/>
      <c r="X12" s="55"/>
      <c r="Y12" s="18"/>
    </row>
    <row r="13" spans="2:25" ht="15.6" x14ac:dyDescent="0.3">
      <c r="B13" s="4" t="s">
        <v>29</v>
      </c>
      <c r="C13" s="55"/>
      <c r="D13" s="55"/>
      <c r="E13" s="55"/>
      <c r="F13" s="422">
        <f>F12/F16</f>
        <v>7.0250000000000004</v>
      </c>
      <c r="G13" s="55"/>
      <c r="H13" s="55"/>
      <c r="I13" s="55"/>
      <c r="J13" s="18"/>
      <c r="L13" s="42" t="s">
        <v>77</v>
      </c>
      <c r="M13" s="172">
        <f>IF(N13=0,VLOOKUP(J$4,Данные!L$3:U$131,6,FALSE()),N13)</f>
        <v>280</v>
      </c>
      <c r="N13" s="58">
        <v>280</v>
      </c>
      <c r="Q13" s="4" t="s">
        <v>29</v>
      </c>
      <c r="R13" s="55"/>
      <c r="S13" s="55"/>
      <c r="T13" s="55"/>
      <c r="U13" s="422">
        <f>U12/U16</f>
        <v>34.35</v>
      </c>
      <c r="V13" s="55"/>
      <c r="W13" s="55"/>
      <c r="X13" s="55"/>
      <c r="Y13" s="18"/>
    </row>
    <row r="14" spans="2:25" ht="15.6" x14ac:dyDescent="0.3">
      <c r="B14" s="4" t="s">
        <v>32</v>
      </c>
      <c r="C14" s="55"/>
      <c r="D14" s="55"/>
      <c r="E14" s="55"/>
      <c r="F14" s="140">
        <f>IF(F12&lt;97,ROUNDUP(F12*1.04,1),ROUNDUP(F12*1.04,0))</f>
        <v>293</v>
      </c>
      <c r="G14" s="55"/>
      <c r="H14" s="55"/>
      <c r="I14" s="55"/>
      <c r="J14" s="18"/>
      <c r="L14" s="42" t="s">
        <v>82</v>
      </c>
      <c r="M14" s="172">
        <f>IF(N14=0,VLOOKUP(J$4,Данные!L$3:U$131,7,FALSE()),N14)</f>
        <v>350</v>
      </c>
      <c r="N14" s="58">
        <v>350</v>
      </c>
      <c r="Q14" s="4" t="s">
        <v>32</v>
      </c>
      <c r="R14" s="55"/>
      <c r="S14" s="55"/>
      <c r="T14" s="55"/>
      <c r="U14" s="140">
        <f>IF(U12&lt;97,ROUNDUP(U12*1.04,1),ROUNDUP(U12*1.04,0))</f>
        <v>143</v>
      </c>
      <c r="V14" s="55"/>
      <c r="W14" s="55"/>
      <c r="X14" s="55"/>
      <c r="Y14" s="18"/>
    </row>
    <row r="15" spans="2:25" ht="15.6" x14ac:dyDescent="0.3">
      <c r="B15" s="4" t="s">
        <v>34</v>
      </c>
      <c r="C15" s="55"/>
      <c r="D15" s="55"/>
      <c r="E15" s="55"/>
      <c r="F15" s="422">
        <f>F14/F16</f>
        <v>7.3250000000000002</v>
      </c>
      <c r="G15" s="55"/>
      <c r="H15" s="55"/>
      <c r="I15" s="55"/>
      <c r="J15" s="18"/>
      <c r="L15" s="42" t="s">
        <v>824</v>
      </c>
      <c r="M15" s="172">
        <f>IF(N15=0,Данные!L140,N15)</f>
        <v>330</v>
      </c>
      <c r="N15" s="1296"/>
      <c r="O15" s="433">
        <f>VLOOKUP(J4,Данные!L3:U134,3,FALSE())</f>
        <v>150</v>
      </c>
      <c r="Q15" s="4" t="s">
        <v>34</v>
      </c>
      <c r="R15" s="55"/>
      <c r="S15" s="55"/>
      <c r="T15" s="55"/>
      <c r="U15" s="422">
        <f>U14/U16</f>
        <v>35.75</v>
      </c>
      <c r="V15" s="55"/>
      <c r="W15" s="55"/>
      <c r="X15" s="55"/>
      <c r="Y15" s="18"/>
    </row>
    <row r="16" spans="2:25" ht="18" x14ac:dyDescent="0.35">
      <c r="B16" s="4" t="s">
        <v>36</v>
      </c>
      <c r="C16" s="55"/>
      <c r="D16" s="55"/>
      <c r="E16" s="55"/>
      <c r="F16" s="168">
        <f>F18*F17</f>
        <v>40</v>
      </c>
      <c r="G16" s="55"/>
      <c r="H16" s="55"/>
      <c r="I16" s="55"/>
      <c r="J16" s="18"/>
      <c r="L16" s="1297" t="s">
        <v>789</v>
      </c>
      <c r="M16" s="1298"/>
      <c r="N16" s="1296"/>
      <c r="O16" s="433" t="s">
        <v>788</v>
      </c>
      <c r="Q16" s="4" t="s">
        <v>36</v>
      </c>
      <c r="R16" s="55"/>
      <c r="S16" s="55"/>
      <c r="T16" s="55"/>
      <c r="U16" s="168">
        <f>U18*U17</f>
        <v>4</v>
      </c>
      <c r="V16" s="55"/>
      <c r="W16" s="55"/>
      <c r="X16" s="55"/>
      <c r="Y16" s="18"/>
    </row>
    <row r="17" spans="2:25" ht="15.6" x14ac:dyDescent="0.3">
      <c r="B17" s="4" t="s">
        <v>38</v>
      </c>
      <c r="C17" s="55"/>
      <c r="D17" s="55"/>
      <c r="E17" s="55"/>
      <c r="F17" s="168">
        <v>1</v>
      </c>
      <c r="G17" s="55"/>
      <c r="H17" s="55"/>
      <c r="I17" s="55"/>
      <c r="J17" s="18"/>
      <c r="L17" s="49"/>
      <c r="M17" s="50"/>
      <c r="Q17" s="4" t="s">
        <v>38</v>
      </c>
      <c r="R17" s="55"/>
      <c r="S17" s="55"/>
      <c r="T17" s="55"/>
      <c r="U17" s="168">
        <v>2</v>
      </c>
      <c r="V17" s="55"/>
      <c r="W17" s="55"/>
      <c r="X17" s="55"/>
      <c r="Y17" s="18"/>
    </row>
    <row r="18" spans="2:25" ht="16.2" thickBot="1" x14ac:dyDescent="0.35">
      <c r="B18" s="19" t="s">
        <v>40</v>
      </c>
      <c r="C18" s="20"/>
      <c r="D18" s="20"/>
      <c r="E18" s="20"/>
      <c r="F18" s="352">
        <v>40</v>
      </c>
      <c r="G18" s="20"/>
      <c r="H18" s="20"/>
      <c r="I18" s="20"/>
      <c r="J18" s="22"/>
      <c r="L18" s="176" t="s">
        <v>12</v>
      </c>
      <c r="M18" s="177">
        <f>VLOOKUP(F8,Данные!A3:I27,9,FALSE())</f>
        <v>7.5</v>
      </c>
      <c r="Q18" s="19" t="s">
        <v>40</v>
      </c>
      <c r="R18" s="20"/>
      <c r="S18" s="20"/>
      <c r="T18" s="20"/>
      <c r="U18" s="352">
        <v>2</v>
      </c>
      <c r="V18" s="20"/>
      <c r="W18" s="20"/>
      <c r="X18" s="20"/>
      <c r="Y18" s="22"/>
    </row>
    <row r="19" spans="2:25" ht="15.6" x14ac:dyDescent="0.3">
      <c r="B19" s="12"/>
      <c r="C19" s="5"/>
      <c r="D19" s="606" t="s">
        <v>430</v>
      </c>
      <c r="E19" s="45"/>
      <c r="F19" s="1523" t="str">
        <f>"Формовочный уклон "&amp;Данные!E38</f>
        <v>Формовочный уклон 7</v>
      </c>
      <c r="G19" s="5"/>
      <c r="H19" s="5"/>
      <c r="I19" s="161"/>
      <c r="J19" s="162"/>
      <c r="L19" s="133" t="s">
        <v>22</v>
      </c>
      <c r="M19" s="133">
        <f>(M4+M5)/2*(M6+M7)/2*M18*M8/1000000</f>
        <v>188.02500000000001</v>
      </c>
      <c r="Q19" s="12"/>
      <c r="R19" s="5"/>
      <c r="S19" s="606" t="s">
        <v>430</v>
      </c>
      <c r="T19" s="45"/>
      <c r="U19" s="160" t="str">
        <f>"Формовочный уклон "&amp;ROUND(Данные!AD38,0)</f>
        <v>Формовочный уклон 70</v>
      </c>
      <c r="V19" s="5"/>
      <c r="W19" s="5"/>
      <c r="X19" s="161"/>
      <c r="Y19" s="162"/>
    </row>
    <row r="20" spans="2:25" ht="15.6" x14ac:dyDescent="0.3">
      <c r="B20" s="4"/>
      <c r="C20" s="55"/>
      <c r="D20" s="55"/>
      <c r="E20" s="55"/>
      <c r="F20" s="55"/>
      <c r="G20" s="55"/>
      <c r="H20" s="55"/>
      <c r="I20" s="23"/>
      <c r="J20" s="24"/>
      <c r="L20" s="133" t="s">
        <v>27</v>
      </c>
      <c r="M20" s="133">
        <f>F10+((M11+M12)/2*((M13+M14)/2)*M15*M18)/1000000</f>
        <v>280.60593749999998</v>
      </c>
      <c r="N20" s="43"/>
      <c r="O20" s="43"/>
      <c r="Q20" s="4"/>
      <c r="R20" s="55"/>
      <c r="S20" s="55"/>
      <c r="T20" s="55"/>
      <c r="U20" s="55"/>
      <c r="V20" s="55"/>
      <c r="W20" s="55"/>
      <c r="X20" s="23"/>
      <c r="Y20" s="24"/>
    </row>
    <row r="21" spans="2:25" ht="15.6" x14ac:dyDescent="0.3">
      <c r="B21" s="4"/>
      <c r="C21" s="55"/>
      <c r="D21" s="55"/>
      <c r="E21" s="55"/>
      <c r="F21" s="55"/>
      <c r="G21" s="55"/>
      <c r="H21" s="46" t="str">
        <f>IF(Данные!B42=TRUE,"ХХ","")</f>
        <v/>
      </c>
      <c r="I21" s="23"/>
      <c r="J21" s="24"/>
      <c r="L21" s="174" t="s">
        <v>84</v>
      </c>
      <c r="M21" s="174" t="s">
        <v>85</v>
      </c>
      <c r="Q21" s="4"/>
      <c r="R21" s="55"/>
      <c r="S21" s="55"/>
      <c r="T21" s="55"/>
      <c r="U21" s="55"/>
      <c r="V21" s="55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5"/>
      <c r="D22" s="55"/>
      <c r="E22" s="55"/>
      <c r="F22" s="55"/>
      <c r="G22" s="55"/>
      <c r="H22" s="55" t="str">
        <f>IF(Данные!B42=TRUE,"ХХ","")</f>
        <v/>
      </c>
      <c r="I22" s="28">
        <f>ROUNDUP(M6*0.985,0)</f>
        <v>262</v>
      </c>
      <c r="J22" s="27"/>
      <c r="L22" s="42" t="s">
        <v>86</v>
      </c>
      <c r="M22" s="51">
        <v>50</v>
      </c>
      <c r="Q22" s="4"/>
      <c r="R22" s="55"/>
      <c r="S22" s="55"/>
      <c r="T22" s="55"/>
      <c r="U22" s="55"/>
      <c r="V22" s="55"/>
      <c r="W22" s="55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5"/>
      <c r="D23" s="55"/>
      <c r="E23" s="55"/>
      <c r="F23" s="55"/>
      <c r="G23" s="55"/>
      <c r="H23" s="55" t="str">
        <f>IF(Данные!B42=TRUE,"ХХ","")</f>
        <v/>
      </c>
      <c r="I23" s="26" t="str">
        <f>"( "&amp;M23&amp;" )"</f>
        <v>( 250 )</v>
      </c>
      <c r="J23" s="27"/>
      <c r="L23" s="42" t="s">
        <v>87</v>
      </c>
      <c r="M23" s="51">
        <v>250</v>
      </c>
      <c r="Q23" s="4"/>
      <c r="R23" s="55"/>
      <c r="S23" s="55"/>
      <c r="T23" s="55"/>
      <c r="U23" s="55"/>
      <c r="V23" s="55"/>
      <c r="W23" s="55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5"/>
      <c r="D24" s="55"/>
      <c r="E24" s="55"/>
      <c r="F24" s="55"/>
      <c r="G24" s="55"/>
      <c r="H24" s="122" t="str">
        <f>IF(Данные!B42=TRUE,"ХХ","")</f>
        <v/>
      </c>
      <c r="I24" s="29"/>
      <c r="J24" s="27"/>
      <c r="L24" s="42" t="s">
        <v>88</v>
      </c>
      <c r="M24" s="51">
        <v>1100</v>
      </c>
      <c r="Q24" s="4"/>
      <c r="R24" s="55"/>
      <c r="S24" s="55"/>
      <c r="T24" s="55"/>
      <c r="U24" s="55"/>
      <c r="V24" s="55"/>
      <c r="W24" s="122" t="str">
        <f>IF(Данные!AA42=TRUE,"ХХ","")</f>
        <v/>
      </c>
      <c r="X24" s="29"/>
      <c r="Y24" s="27"/>
    </row>
    <row r="25" spans="2:25" ht="15.6" x14ac:dyDescent="0.3">
      <c r="B25" s="4"/>
      <c r="C25" s="55"/>
      <c r="D25" s="55"/>
      <c r="E25" s="55"/>
      <c r="F25" s="55"/>
      <c r="G25" s="55"/>
      <c r="H25" s="122" t="str">
        <f>IF(Данные!B42=TRUE,"ХХ","")</f>
        <v/>
      </c>
      <c r="I25" s="29"/>
      <c r="J25" s="27"/>
      <c r="L25" s="1637"/>
      <c r="M25" s="1638"/>
      <c r="Q25" s="4"/>
      <c r="R25" s="55"/>
      <c r="S25" s="55"/>
      <c r="T25" s="55"/>
      <c r="U25" s="55"/>
      <c r="V25" s="55"/>
      <c r="W25" s="122" t="str">
        <f>IF(Данные!AA42=TRUE,"ХХ","")</f>
        <v/>
      </c>
      <c r="X25" s="29"/>
      <c r="Y25" s="27"/>
    </row>
    <row r="26" spans="2:25" ht="15.6" x14ac:dyDescent="0.3">
      <c r="B26" s="4"/>
      <c r="C26" s="55"/>
      <c r="D26" s="55"/>
      <c r="E26" s="55"/>
      <c r="F26" s="55"/>
      <c r="G26" s="55"/>
      <c r="H26" s="122" t="str">
        <f>IF(Данные!B42=TRUE,"ХХ","")</f>
        <v/>
      </c>
      <c r="I26" s="29"/>
      <c r="J26" s="27"/>
      <c r="L26" s="42" t="s">
        <v>19</v>
      </c>
      <c r="M26" s="173">
        <f>M22*M24*M23*M18/1000000</f>
        <v>103.125</v>
      </c>
      <c r="Q26" s="4"/>
      <c r="R26" s="55"/>
      <c r="S26" s="55"/>
      <c r="T26" s="55"/>
      <c r="U26" s="55"/>
      <c r="V26" s="55"/>
      <c r="W26" s="122" t="str">
        <f>IF(Данные!AA42=TRUE,"ХХ","")</f>
        <v/>
      </c>
      <c r="X26" s="29"/>
      <c r="Y26" s="27"/>
    </row>
    <row r="27" spans="2:25" ht="15.6" x14ac:dyDescent="0.3">
      <c r="B27" s="4"/>
      <c r="C27" s="55"/>
      <c r="D27" s="31"/>
      <c r="E27" s="32">
        <v>20</v>
      </c>
      <c r="F27" s="55"/>
      <c r="G27" s="55"/>
      <c r="H27" s="55"/>
      <c r="I27" s="29"/>
      <c r="J27" s="27"/>
      <c r="L27" s="133" t="s">
        <v>309</v>
      </c>
      <c r="M27" s="132"/>
      <c r="Q27" s="4"/>
      <c r="R27" s="55"/>
      <c r="S27" s="31"/>
      <c r="T27" s="32">
        <v>20</v>
      </c>
      <c r="U27" s="55"/>
      <c r="V27" s="55"/>
      <c r="W27" s="55"/>
      <c r="X27" s="29"/>
      <c r="Y27" s="27"/>
    </row>
    <row r="28" spans="2:25" ht="15.6" x14ac:dyDescent="0.3">
      <c r="B28" s="4"/>
      <c r="C28" s="55"/>
      <c r="D28" s="59"/>
      <c r="E28" s="55"/>
      <c r="F28" s="55"/>
      <c r="G28" s="55"/>
      <c r="H28" s="55"/>
      <c r="I28" s="29"/>
      <c r="J28" s="27"/>
      <c r="L28" s="1635" t="s">
        <v>275</v>
      </c>
      <c r="M28" s="1636"/>
      <c r="Q28" s="4"/>
      <c r="R28" s="55"/>
      <c r="S28" s="59"/>
      <c r="T28" s="55"/>
      <c r="U28" s="55"/>
      <c r="V28" s="55"/>
      <c r="W28" s="55"/>
      <c r="X28" s="29"/>
      <c r="Y28" s="27"/>
    </row>
    <row r="29" spans="2:25" x14ac:dyDescent="0.3">
      <c r="B29" s="4"/>
      <c r="C29" s="33">
        <f>ROUNDUP(M15*0.985,0)</f>
        <v>326</v>
      </c>
      <c r="D29" s="59"/>
      <c r="E29" s="34">
        <f>ROUNDUP(M8*0.985,0)</f>
        <v>1133</v>
      </c>
      <c r="F29" s="55"/>
      <c r="G29" s="55"/>
      <c r="H29" s="55"/>
      <c r="I29" s="29"/>
      <c r="J29" s="27"/>
      <c r="Q29" s="4"/>
      <c r="R29" s="33">
        <f>180*0.985</f>
        <v>177.3</v>
      </c>
      <c r="S29" s="59"/>
      <c r="T29" s="34">
        <f>590*0.985</f>
        <v>581.15</v>
      </c>
      <c r="U29" s="55"/>
      <c r="V29" s="55"/>
      <c r="W29" s="55"/>
      <c r="X29" s="29"/>
      <c r="Y29" s="27"/>
    </row>
    <row r="30" spans="2:25" ht="15.6" x14ac:dyDescent="0.3">
      <c r="B30" s="4"/>
      <c r="C30" s="59"/>
      <c r="D30" s="55"/>
      <c r="E30" s="26" t="str">
        <f>"( "&amp;M24&amp;" )"</f>
        <v>( 1100 )</v>
      </c>
      <c r="F30" s="31"/>
      <c r="G30" s="55"/>
      <c r="H30" s="55"/>
      <c r="I30" s="29"/>
      <c r="J30" s="27"/>
      <c r="L30" s="986" t="s">
        <v>341</v>
      </c>
      <c r="M30" s="983"/>
      <c r="N30" s="983"/>
      <c r="O30" s="983"/>
      <c r="Q30" s="4"/>
      <c r="R30" s="59"/>
      <c r="S30" s="55"/>
      <c r="T30" s="26" t="str">
        <f>"( "&amp;265&amp;" )"</f>
        <v>( 265 )</v>
      </c>
      <c r="U30" s="31"/>
      <c r="V30" s="55"/>
      <c r="W30" s="55"/>
      <c r="X30" s="29"/>
      <c r="Y30" s="27"/>
    </row>
    <row r="31" spans="2:25" s="43" customFormat="1" x14ac:dyDescent="0.3">
      <c r="B31" s="4"/>
      <c r="C31" s="59"/>
      <c r="D31" s="55"/>
      <c r="E31" s="26"/>
      <c r="F31" s="31"/>
      <c r="G31" s="55"/>
      <c r="H31" s="55"/>
      <c r="I31" s="29"/>
      <c r="J31" s="27"/>
      <c r="L31" s="987" t="s">
        <v>348</v>
      </c>
      <c r="M31" s="984"/>
      <c r="N31" s="984"/>
      <c r="O31" s="984"/>
      <c r="Q31" s="4"/>
      <c r="R31" s="59"/>
      <c r="S31" s="55"/>
      <c r="T31" s="26"/>
      <c r="U31" s="31"/>
      <c r="V31" s="55"/>
      <c r="W31" s="55"/>
      <c r="X31" s="29"/>
      <c r="Y31" s="27"/>
    </row>
    <row r="32" spans="2:25" x14ac:dyDescent="0.3">
      <c r="B32" s="4"/>
      <c r="C32" s="55"/>
      <c r="D32" s="55"/>
      <c r="E32" s="55"/>
      <c r="F32" s="55"/>
      <c r="G32" s="55"/>
      <c r="H32" s="55"/>
      <c r="I32" s="29"/>
      <c r="J32" s="27"/>
      <c r="L32" s="987"/>
      <c r="M32" s="984"/>
      <c r="N32" s="984"/>
      <c r="O32" s="984"/>
      <c r="Q32" s="4"/>
      <c r="R32" s="55"/>
      <c r="S32" s="55"/>
      <c r="T32" s="55"/>
      <c r="U32" s="55"/>
      <c r="V32" s="55"/>
      <c r="W32" s="55"/>
      <c r="X32" s="29"/>
      <c r="Y32" s="27"/>
    </row>
    <row r="33" spans="2:25" ht="16.2" thickBot="1" x14ac:dyDescent="0.35">
      <c r="B33" s="4"/>
      <c r="C33" s="55"/>
      <c r="D33" s="55"/>
      <c r="E33" s="55"/>
      <c r="F33" s="55"/>
      <c r="G33" s="55"/>
      <c r="H33" s="55" t="str">
        <f>IF(Данные!B42=TRUE,"ХХ","")</f>
        <v/>
      </c>
      <c r="I33" s="28">
        <f>ROUNDUP(M4*0.985,0)</f>
        <v>74</v>
      </c>
      <c r="J33" s="570"/>
      <c r="Q33" s="4"/>
      <c r="R33" s="55"/>
      <c r="S33" s="55"/>
      <c r="T33" s="55"/>
      <c r="U33" s="55"/>
      <c r="V33" s="55"/>
      <c r="W33" s="55" t="str">
        <f>IF(Данные!AA42=TRUE,"ХХ","")</f>
        <v/>
      </c>
      <c r="X33" s="28">
        <f>87*0.985</f>
        <v>85.694999999999993</v>
      </c>
      <c r="Y33" s="570"/>
    </row>
    <row r="34" spans="2:25" ht="16.2" thickBot="1" x14ac:dyDescent="0.35">
      <c r="B34" s="4"/>
      <c r="C34" s="55"/>
      <c r="D34" s="55"/>
      <c r="E34" s="55"/>
      <c r="F34" s="55"/>
      <c r="G34" s="55"/>
      <c r="H34" s="55" t="str">
        <f>IF(Данные!B42=TRUE,"ХХ","")</f>
        <v/>
      </c>
      <c r="I34" s="26" t="str">
        <f>"( "&amp;M22&amp;" )"</f>
        <v>( 50 )</v>
      </c>
      <c r="J34" s="27"/>
      <c r="L34" s="1520" t="s">
        <v>89</v>
      </c>
      <c r="M34" s="71"/>
      <c r="N34" s="71"/>
      <c r="O34" s="13"/>
      <c r="Q34" s="4"/>
      <c r="R34" s="55"/>
      <c r="S34" s="55"/>
      <c r="T34" s="55"/>
      <c r="U34" s="55"/>
      <c r="V34" s="55"/>
      <c r="W34" s="55" t="str">
        <f>IF(Данные!AA42=TRUE,"ХХ","")</f>
        <v/>
      </c>
      <c r="X34" s="26" t="str">
        <f>"( "&amp;70&amp;" )"</f>
        <v>( 70 )</v>
      </c>
      <c r="Y34" s="27"/>
    </row>
    <row r="35" spans="2:25" ht="16.2" thickBot="1" x14ac:dyDescent="0.35">
      <c r="B35" s="4"/>
      <c r="C35" s="55"/>
      <c r="D35" s="55"/>
      <c r="E35" s="55"/>
      <c r="F35" s="55"/>
      <c r="G35" s="55"/>
      <c r="H35" s="55" t="str">
        <f>IF(Данные!B42=TRUE,"ХХ","")</f>
        <v/>
      </c>
      <c r="I35" s="23"/>
      <c r="J35" s="24"/>
      <c r="L35" s="1519">
        <f>VLOOKUP(J4,Данные!L3:V135,11,FALSE())</f>
        <v>0</v>
      </c>
      <c r="M35" s="65"/>
      <c r="N35" s="65"/>
      <c r="O35" s="40"/>
      <c r="Q35" s="4"/>
      <c r="R35" s="55"/>
      <c r="S35" s="55"/>
      <c r="T35" s="55"/>
      <c r="U35" s="55"/>
      <c r="V35" s="55"/>
      <c r="W35" s="55" t="str">
        <f>IF(Данные!AA42=TRUE,"ХХ","")</f>
        <v/>
      </c>
      <c r="X35" s="23"/>
      <c r="Y35" s="24"/>
    </row>
    <row r="36" spans="2:25" x14ac:dyDescent="0.3">
      <c r="B36" s="4"/>
      <c r="C36" s="55"/>
      <c r="D36" s="55"/>
      <c r="E36" s="55"/>
      <c r="F36" s="55"/>
      <c r="G36" s="55"/>
      <c r="H36" s="122" t="str">
        <f>IF(Данные!B42=TRUE,"ХХ","")</f>
        <v/>
      </c>
      <c r="I36" s="23"/>
      <c r="J36" s="24"/>
      <c r="M36" s="43"/>
      <c r="Q36" s="4"/>
      <c r="R36" s="55"/>
      <c r="S36" s="55"/>
      <c r="T36" s="55"/>
      <c r="U36" s="55"/>
      <c r="V36" s="55"/>
      <c r="W36" s="122" t="str">
        <f>IF(Данные!AA42=TRUE,"ХХ","")</f>
        <v/>
      </c>
      <c r="X36" s="23"/>
      <c r="Y36" s="24"/>
    </row>
    <row r="37" spans="2:25" x14ac:dyDescent="0.3">
      <c r="B37" s="4"/>
      <c r="C37" s="55"/>
      <c r="D37" s="55" t="str">
        <f>IF(Данные!B38=TRUE,"ХХХХХХХХХХХХХХХХХХХХХХХХХХХХХХХХХХХХХХХХ","")</f>
        <v/>
      </c>
      <c r="E37" s="59"/>
      <c r="F37" s="55"/>
      <c r="G37" s="55"/>
      <c r="H37" s="55"/>
      <c r="I37" s="23"/>
      <c r="J37" s="24"/>
      <c r="M37" s="43"/>
      <c r="O37" s="136"/>
      <c r="Q37" s="4"/>
      <c r="R37" s="55"/>
      <c r="S37" s="55" t="str">
        <f>IF(Данные!AA38=TRUE,"ХХХХХХХХХХХХХХХХХХХХХХХХХХХХХХХХХХХХХХХХ","")</f>
        <v/>
      </c>
      <c r="T37" s="59"/>
      <c r="U37" s="55"/>
      <c r="V37" s="55"/>
      <c r="W37" s="55"/>
      <c r="X37" s="23"/>
      <c r="Y37" s="24"/>
    </row>
    <row r="38" spans="2:25" x14ac:dyDescent="0.3">
      <c r="B38" s="4"/>
      <c r="C38" s="348" t="s">
        <v>429</v>
      </c>
      <c r="D38" s="55"/>
      <c r="E38" s="55"/>
      <c r="F38" s="55"/>
      <c r="G38" s="55"/>
      <c r="H38" s="55"/>
      <c r="I38" s="23"/>
      <c r="J38" s="24"/>
      <c r="N38" s="610"/>
      <c r="O38" s="610"/>
      <c r="Q38" s="4"/>
      <c r="R38" s="348" t="s">
        <v>1201</v>
      </c>
      <c r="S38" s="55"/>
      <c r="T38" s="55"/>
      <c r="U38" s="55"/>
      <c r="V38" s="55"/>
      <c r="W38" s="55"/>
      <c r="X38" s="23"/>
      <c r="Y38" s="24"/>
    </row>
    <row r="39" spans="2:25" s="43" customFormat="1" x14ac:dyDescent="0.3">
      <c r="B39" s="4"/>
      <c r="C39" s="348"/>
      <c r="D39" s="77"/>
      <c r="E39" s="59"/>
      <c r="F39" s="55"/>
      <c r="G39" s="55"/>
      <c r="H39" s="55"/>
      <c r="I39" s="23"/>
      <c r="J39" s="24"/>
      <c r="L39"/>
      <c r="N39" s="610"/>
      <c r="Q39" s="4"/>
      <c r="R39" s="348"/>
      <c r="S39" s="77"/>
      <c r="T39" s="59"/>
      <c r="U39" s="55"/>
      <c r="V39" s="55"/>
      <c r="W39" s="55"/>
      <c r="X39" s="23"/>
      <c r="Y39" s="24"/>
    </row>
    <row r="40" spans="2:25" s="43" customFormat="1" x14ac:dyDescent="0.3">
      <c r="B40" s="4"/>
      <c r="C40" s="59"/>
      <c r="D40" s="77"/>
      <c r="E40" s="77"/>
      <c r="F40" s="55"/>
      <c r="G40" s="55"/>
      <c r="H40" s="55"/>
      <c r="I40" s="23"/>
      <c r="J40" s="24"/>
      <c r="Q40" s="4"/>
      <c r="R40" s="59"/>
      <c r="S40" s="77"/>
      <c r="T40" s="77"/>
      <c r="U40" s="55"/>
      <c r="V40" s="55"/>
      <c r="W40" s="55"/>
      <c r="X40" s="23"/>
      <c r="Y40" s="24"/>
    </row>
    <row r="41" spans="2:25" s="43" customFormat="1" ht="15.6" x14ac:dyDescent="0.3">
      <c r="B41" s="4"/>
      <c r="D41" s="77"/>
      <c r="E41" s="1165"/>
      <c r="F41" s="77" t="s">
        <v>1272</v>
      </c>
      <c r="G41" s="59"/>
      <c r="H41" s="77"/>
      <c r="I41" s="77"/>
      <c r="J41" s="444"/>
      <c r="Q41" s="4"/>
      <c r="R41" s="59"/>
      <c r="S41" s="77"/>
      <c r="T41" s="77"/>
      <c r="U41" s="77"/>
      <c r="V41" s="59"/>
      <c r="W41" s="77"/>
      <c r="X41" s="77"/>
      <c r="Y41" s="444"/>
    </row>
    <row r="42" spans="2:25" ht="16.2" thickBot="1" x14ac:dyDescent="0.35">
      <c r="B42" s="19"/>
      <c r="C42" s="123" t="str">
        <f>IF(OR(Данные!B38=TRUE,Данные!B42=TRUE),"Использовать холодильники","")</f>
        <v/>
      </c>
      <c r="D42" s="607"/>
      <c r="E42" s="349"/>
      <c r="F42" s="20"/>
      <c r="G42" s="65"/>
      <c r="H42" s="20"/>
      <c r="I42" s="20"/>
      <c r="J42" s="72"/>
      <c r="L42" s="43"/>
      <c r="Q42" s="19"/>
      <c r="R42" s="123" t="str">
        <f>IF(OR(Данные!AA38=TRUE,Данные!AA42=TRUE),"Использовать холодильники","")</f>
        <v/>
      </c>
      <c r="S42" s="607"/>
      <c r="T42" s="349"/>
      <c r="U42" s="20"/>
      <c r="V42" s="65"/>
      <c r="W42" s="20"/>
      <c r="X42" s="20"/>
      <c r="Y42" s="72"/>
    </row>
    <row r="43" spans="2:25" x14ac:dyDescent="0.3">
      <c r="B43" s="1507" t="s">
        <v>263</v>
      </c>
      <c r="C43" s="71"/>
      <c r="D43" s="5"/>
      <c r="E43" s="5"/>
      <c r="F43" s="1446" t="s">
        <v>53</v>
      </c>
      <c r="G43" s="5"/>
      <c r="H43" s="5"/>
      <c r="I43" s="5"/>
      <c r="J43" s="13"/>
      <c r="M43" s="43"/>
      <c r="Q43" s="4"/>
      <c r="R43" s="55" t="s">
        <v>263</v>
      </c>
      <c r="S43" s="55"/>
      <c r="T43" s="55"/>
      <c r="U43" s="53" t="s">
        <v>53</v>
      </c>
      <c r="V43" s="55"/>
      <c r="W43" s="55"/>
      <c r="X43" s="55"/>
      <c r="Y43" s="10"/>
    </row>
    <row r="44" spans="2:25" x14ac:dyDescent="0.3">
      <c r="B44" s="526" t="s">
        <v>59</v>
      </c>
      <c r="C44" s="59"/>
      <c r="D44" s="55"/>
      <c r="E44" s="55"/>
      <c r="F44" s="52" t="s">
        <v>90</v>
      </c>
      <c r="G44" s="55"/>
      <c r="H44" s="55"/>
      <c r="I44" s="55"/>
      <c r="J44" s="10"/>
      <c r="Q44" s="4"/>
      <c r="R44" s="55" t="s">
        <v>59</v>
      </c>
      <c r="S44" s="55"/>
      <c r="T44" s="55"/>
      <c r="U44" s="52" t="s">
        <v>90</v>
      </c>
      <c r="V44" s="55"/>
      <c r="W44" s="55"/>
      <c r="X44" s="55"/>
      <c r="Y44" s="10"/>
    </row>
    <row r="45" spans="2:25" x14ac:dyDescent="0.3">
      <c r="B45" s="526" t="s">
        <v>54</v>
      </c>
      <c r="C45" s="59"/>
      <c r="D45" s="55"/>
      <c r="E45" s="55"/>
      <c r="F45" s="53" t="s">
        <v>55</v>
      </c>
      <c r="G45" s="55"/>
      <c r="H45" s="55"/>
      <c r="I45" s="55"/>
      <c r="J45" s="10"/>
      <c r="Q45" s="4"/>
      <c r="R45" s="55" t="s">
        <v>54</v>
      </c>
      <c r="S45" s="55"/>
      <c r="T45" s="55"/>
      <c r="U45" s="53" t="s">
        <v>55</v>
      </c>
      <c r="V45" s="55"/>
      <c r="W45" s="55"/>
      <c r="X45" s="55"/>
      <c r="Y45" s="10"/>
    </row>
    <row r="46" spans="2:25" x14ac:dyDescent="0.3">
      <c r="B46" s="526" t="s">
        <v>930</v>
      </c>
      <c r="C46" s="59"/>
      <c r="D46" s="55"/>
      <c r="E46" s="55"/>
      <c r="F46" s="54" t="str">
        <f>Данные!C38</f>
        <v>1080-1100</v>
      </c>
      <c r="G46" s="17" t="s">
        <v>91</v>
      </c>
      <c r="H46" s="55"/>
      <c r="I46" s="55"/>
      <c r="J46" s="10"/>
      <c r="Q46" s="4"/>
      <c r="R46" s="55" t="s">
        <v>930</v>
      </c>
      <c r="S46" s="55"/>
      <c r="T46" s="55"/>
      <c r="U46" s="54" t="s">
        <v>119</v>
      </c>
      <c r="V46" s="17" t="s">
        <v>91</v>
      </c>
      <c r="W46" s="55"/>
      <c r="X46" s="55"/>
      <c r="Y46" s="10"/>
    </row>
    <row r="47" spans="2:25" x14ac:dyDescent="0.3">
      <c r="B47" s="4" t="s">
        <v>431</v>
      </c>
      <c r="C47" s="59"/>
      <c r="D47" s="59"/>
      <c r="E47" s="59"/>
      <c r="F47" s="168" t="s">
        <v>432</v>
      </c>
      <c r="G47" s="55"/>
      <c r="H47" s="55"/>
      <c r="I47" s="59"/>
      <c r="J47" s="10"/>
      <c r="Q47" s="4"/>
      <c r="R47" s="43" t="s">
        <v>431</v>
      </c>
      <c r="S47" s="43"/>
      <c r="T47" s="43"/>
      <c r="U47" s="44" t="s">
        <v>432</v>
      </c>
      <c r="V47" s="55"/>
      <c r="W47" s="55"/>
      <c r="X47" s="43"/>
      <c r="Y47" s="10"/>
    </row>
    <row r="48" spans="2:25" x14ac:dyDescent="0.3">
      <c r="B48" s="526" t="s">
        <v>49</v>
      </c>
      <c r="C48" s="59"/>
      <c r="D48" s="55"/>
      <c r="E48" s="55"/>
      <c r="F48" s="53" t="str">
        <f>VLOOKUP(F8,Данные!A3:I27,6,FALSE())</f>
        <v>25010.00176</v>
      </c>
      <c r="G48" s="55"/>
      <c r="H48" s="55"/>
      <c r="I48" s="55"/>
      <c r="J48" s="10"/>
      <c r="Q48" s="4"/>
      <c r="R48" s="55" t="s">
        <v>49</v>
      </c>
      <c r="S48" s="55"/>
      <c r="T48" s="55"/>
      <c r="U48" s="53" t="s">
        <v>126</v>
      </c>
      <c r="V48" s="55"/>
      <c r="W48" s="55"/>
      <c r="X48" s="55"/>
      <c r="Y48" s="10"/>
    </row>
    <row r="49" spans="2:25" x14ac:dyDescent="0.3">
      <c r="B49" s="526" t="s">
        <v>51</v>
      </c>
      <c r="C49" s="59"/>
      <c r="D49" s="55"/>
      <c r="E49" s="55"/>
      <c r="F49" s="53" t="s">
        <v>92</v>
      </c>
      <c r="G49" s="55"/>
      <c r="H49" s="55"/>
      <c r="I49" s="55"/>
      <c r="J49" s="10"/>
      <c r="Q49" s="4"/>
      <c r="R49" s="55" t="s">
        <v>51</v>
      </c>
      <c r="S49" s="55"/>
      <c r="T49" s="55"/>
      <c r="U49" s="53" t="s">
        <v>92</v>
      </c>
      <c r="V49" s="55"/>
      <c r="W49" s="55"/>
      <c r="X49" s="55"/>
      <c r="Y49" s="10"/>
    </row>
    <row r="50" spans="2:25" x14ac:dyDescent="0.3">
      <c r="B50" s="526" t="s">
        <v>93</v>
      </c>
      <c r="C50" s="59"/>
      <c r="D50" s="55"/>
      <c r="E50" s="17"/>
      <c r="F50" s="168" t="s">
        <v>57</v>
      </c>
      <c r="G50" s="55"/>
      <c r="H50" s="55"/>
      <c r="I50" s="55"/>
      <c r="J50" s="10"/>
      <c r="L50" s="136"/>
      <c r="Q50" s="4"/>
      <c r="R50" s="55" t="s">
        <v>93</v>
      </c>
      <c r="S50" s="55"/>
      <c r="T50" s="17"/>
      <c r="U50" s="44" t="s">
        <v>57</v>
      </c>
      <c r="V50" s="55"/>
      <c r="W50" s="55"/>
      <c r="X50" s="55"/>
      <c r="Y50" s="10"/>
    </row>
    <row r="51" spans="2:25" ht="15" thickBot="1" x14ac:dyDescent="0.35">
      <c r="B51" s="4"/>
      <c r="C51" s="55"/>
      <c r="D51" s="55"/>
      <c r="E51" s="17"/>
      <c r="F51" s="168"/>
      <c r="G51" s="55"/>
      <c r="H51" s="55"/>
      <c r="I51" s="55"/>
      <c r="J51" s="10"/>
      <c r="L51" s="136"/>
      <c r="Q51" s="4"/>
      <c r="R51" s="55" t="s">
        <v>65</v>
      </c>
      <c r="S51" s="55"/>
      <c r="T51" s="17"/>
      <c r="U51" s="17" t="s">
        <v>66</v>
      </c>
      <c r="V51" s="55"/>
      <c r="W51" s="55"/>
      <c r="X51" s="55"/>
      <c r="Y51" s="10"/>
    </row>
    <row r="52" spans="2:25" ht="15" thickBot="1" x14ac:dyDescent="0.35">
      <c r="B52" s="4"/>
      <c r="C52" s="55"/>
      <c r="D52" s="55"/>
      <c r="E52" s="17"/>
      <c r="F52" s="168"/>
      <c r="G52" s="55"/>
      <c r="H52" s="55"/>
      <c r="I52" s="55"/>
      <c r="J52" s="10"/>
      <c r="L52" s="136"/>
      <c r="Q52" s="12"/>
      <c r="R52" s="5" t="s">
        <v>67</v>
      </c>
      <c r="S52" s="13"/>
      <c r="T52" s="37" t="s">
        <v>68</v>
      </c>
      <c r="U52" s="38" t="s">
        <v>67</v>
      </c>
      <c r="V52" s="13"/>
      <c r="W52" s="5" t="s">
        <v>69</v>
      </c>
      <c r="X52" s="5"/>
      <c r="Y52" s="13"/>
    </row>
    <row r="53" spans="2:25" ht="15" thickBot="1" x14ac:dyDescent="0.35">
      <c r="B53" s="19"/>
      <c r="C53" s="20" t="s">
        <v>65</v>
      </c>
      <c r="D53" s="20"/>
      <c r="E53" s="21"/>
      <c r="F53" s="21" t="s">
        <v>66</v>
      </c>
      <c r="G53" s="20"/>
      <c r="H53" s="20"/>
      <c r="I53" s="20"/>
      <c r="J53" s="40"/>
      <c r="L53" s="60"/>
      <c r="M53" s="136"/>
      <c r="N53" s="136"/>
      <c r="Q53" s="1629">
        <f ca="1">TODAY()</f>
        <v>45428</v>
      </c>
      <c r="R53" s="1629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12"/>
      <c r="C54" s="5" t="s">
        <v>67</v>
      </c>
      <c r="D54" s="13"/>
      <c r="E54" s="37" t="s">
        <v>68</v>
      </c>
      <c r="F54" s="38" t="s">
        <v>67</v>
      </c>
      <c r="G54" s="13"/>
      <c r="H54" s="5" t="s">
        <v>69</v>
      </c>
      <c r="I54" s="5"/>
      <c r="J54" s="13"/>
      <c r="L54" s="200"/>
      <c r="M54" s="200"/>
      <c r="Q54" s="73"/>
      <c r="R54" s="20" t="s">
        <v>70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1629">
        <f ca="1">TODAY()</f>
        <v>45428</v>
      </c>
      <c r="C55" s="1629"/>
      <c r="D55" s="3"/>
      <c r="E55" s="39"/>
      <c r="F55" s="1"/>
      <c r="G55" s="3"/>
      <c r="H55" s="2"/>
      <c r="I55" s="2"/>
      <c r="J55" s="3"/>
      <c r="L55" s="200"/>
      <c r="M55" s="200"/>
      <c r="N55" s="200"/>
      <c r="O55" s="43"/>
      <c r="Q55" s="4"/>
      <c r="R55" s="59"/>
      <c r="S55" s="59"/>
      <c r="T55" s="59"/>
      <c r="U55" s="59"/>
      <c r="V55" s="59"/>
      <c r="W55" s="59"/>
      <c r="X55" s="59"/>
      <c r="Y55" s="10"/>
    </row>
    <row r="56" spans="2:25" ht="15" thickBot="1" x14ac:dyDescent="0.35">
      <c r="B56" s="73"/>
      <c r="C56" s="20" t="s">
        <v>70</v>
      </c>
      <c r="D56" s="3"/>
      <c r="E56" s="21"/>
      <c r="F56" s="20"/>
      <c r="G56" s="20"/>
      <c r="H56" s="20"/>
      <c r="I56" s="20"/>
      <c r="J56" s="40"/>
      <c r="L56" s="60"/>
      <c r="M56" s="136"/>
      <c r="N56" s="136"/>
      <c r="Q56" s="1631" t="s">
        <v>6</v>
      </c>
      <c r="R56" s="1632"/>
      <c r="S56" s="1633"/>
      <c r="T56" s="107" t="s">
        <v>295</v>
      </c>
      <c r="U56" s="108" t="s">
        <v>296</v>
      </c>
      <c r="V56" s="107" t="s">
        <v>296</v>
      </c>
      <c r="W56" s="107" t="s">
        <v>297</v>
      </c>
      <c r="X56" s="104" t="s">
        <v>298</v>
      </c>
      <c r="Y56" s="511"/>
    </row>
    <row r="57" spans="2:25" ht="15" thickBot="1" x14ac:dyDescent="0.35">
      <c r="B57" s="4"/>
      <c r="C57" s="59"/>
      <c r="D57" s="59"/>
      <c r="E57" s="59"/>
      <c r="F57" s="59"/>
      <c r="G57" s="59"/>
      <c r="H57" s="59"/>
      <c r="I57" s="59"/>
      <c r="J57" s="10"/>
      <c r="K57" s="518"/>
      <c r="L57" s="60"/>
      <c r="M57" s="136"/>
      <c r="N57" s="136"/>
      <c r="Q57" s="1610" t="s">
        <v>299</v>
      </c>
      <c r="R57" s="1634"/>
      <c r="S57" s="1611"/>
      <c r="T57" s="111" t="s">
        <v>300</v>
      </c>
      <c r="U57" s="111" t="s">
        <v>301</v>
      </c>
      <c r="V57" s="111" t="s">
        <v>302</v>
      </c>
      <c r="W57" s="111"/>
      <c r="X57" s="112" t="s">
        <v>303</v>
      </c>
      <c r="Y57" s="993"/>
    </row>
    <row r="58" spans="2:25" ht="15" thickBot="1" x14ac:dyDescent="0.35">
      <c r="B58" s="1631" t="s">
        <v>6</v>
      </c>
      <c r="C58" s="1632"/>
      <c r="D58" s="1633"/>
      <c r="E58" s="107" t="s">
        <v>295</v>
      </c>
      <c r="F58" s="108" t="s">
        <v>296</v>
      </c>
      <c r="G58" s="107" t="s">
        <v>296</v>
      </c>
      <c r="H58" s="107" t="s">
        <v>297</v>
      </c>
      <c r="I58" s="1631" t="s">
        <v>298</v>
      </c>
      <c r="J58" s="1633"/>
      <c r="K58" s="517"/>
      <c r="L58" s="60"/>
      <c r="Q58" s="1592" t="s">
        <v>400</v>
      </c>
      <c r="R58" s="1630"/>
      <c r="S58" s="1593"/>
      <c r="T58" s="195">
        <v>40</v>
      </c>
      <c r="U58" s="994">
        <v>1</v>
      </c>
      <c r="V58" s="195">
        <v>20</v>
      </c>
      <c r="W58" s="195">
        <v>3</v>
      </c>
      <c r="X58" s="1592">
        <f>ROUND(700*700*(T29+R29)/1000000*2.045*2.3/1000/U16,3)</f>
        <v>0.437</v>
      </c>
      <c r="Y58" s="1593"/>
    </row>
    <row r="59" spans="2:25" ht="15" thickBot="1" x14ac:dyDescent="0.35">
      <c r="B59" s="1610" t="s">
        <v>299</v>
      </c>
      <c r="C59" s="1634"/>
      <c r="D59" s="1611"/>
      <c r="E59" s="111" t="s">
        <v>300</v>
      </c>
      <c r="F59" s="111" t="s">
        <v>301</v>
      </c>
      <c r="G59" s="111" t="s">
        <v>302</v>
      </c>
      <c r="H59" s="111"/>
      <c r="I59" s="1610" t="s">
        <v>303</v>
      </c>
      <c r="J59" s="1611"/>
      <c r="L59" s="60"/>
    </row>
    <row r="60" spans="2:25" ht="15" thickBot="1" x14ac:dyDescent="0.35">
      <c r="B60" s="1592" t="s">
        <v>400</v>
      </c>
      <c r="C60" s="1630"/>
      <c r="D60" s="1593"/>
      <c r="E60" s="195">
        <v>40</v>
      </c>
      <c r="F60" s="196">
        <v>1</v>
      </c>
      <c r="G60" s="195">
        <v>20</v>
      </c>
      <c r="H60" s="195">
        <v>3</v>
      </c>
      <c r="I60" s="1592">
        <f>ROUND(1400*2000*(E29+C29)/1000000*2.045*2.3/1000/F16,3)</f>
        <v>0.48</v>
      </c>
      <c r="J60" s="1593"/>
      <c r="L60" s="59"/>
    </row>
    <row r="61" spans="2:25" x14ac:dyDescent="0.3">
      <c r="L61" s="59"/>
      <c r="M61" s="59"/>
      <c r="N61" s="59"/>
      <c r="O61" s="59"/>
    </row>
    <row r="62" spans="2:25" x14ac:dyDescent="0.3">
      <c r="K62" s="59"/>
      <c r="L62" s="59"/>
      <c r="M62" s="59"/>
      <c r="N62" s="59"/>
      <c r="O62" s="59"/>
      <c r="P62" s="59"/>
      <c r="Q62" s="59"/>
    </row>
    <row r="63" spans="2:25" x14ac:dyDescent="0.3">
      <c r="K63" s="59"/>
      <c r="L63" s="59"/>
      <c r="M63" s="59"/>
      <c r="N63" s="59"/>
      <c r="O63" s="59"/>
      <c r="P63" s="59"/>
      <c r="Q63" s="59"/>
    </row>
    <row r="64" spans="2:25" x14ac:dyDescent="0.3"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</row>
    <row r="65" spans="2:17" x14ac:dyDescent="0.3"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</row>
    <row r="66" spans="2:17" x14ac:dyDescent="0.3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</row>
    <row r="67" spans="2:17" x14ac:dyDescent="0.3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</row>
    <row r="68" spans="2:17" x14ac:dyDescent="0.3"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</row>
    <row r="69" spans="2:17" x14ac:dyDescent="0.3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</row>
    <row r="70" spans="2:17" x14ac:dyDescent="0.3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</row>
    <row r="71" spans="2:17" x14ac:dyDescent="0.3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</row>
    <row r="72" spans="2:17" x14ac:dyDescent="0.3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</row>
    <row r="73" spans="2:17" x14ac:dyDescent="0.3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</row>
    <row r="74" spans="2:17" x14ac:dyDescent="0.3"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</row>
    <row r="75" spans="2:17" x14ac:dyDescent="0.3">
      <c r="B75" s="59"/>
      <c r="C75" s="59"/>
      <c r="D75" s="60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</row>
    <row r="76" spans="2:17" x14ac:dyDescent="0.3"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</row>
    <row r="77" spans="2:17" x14ac:dyDescent="0.3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</row>
    <row r="78" spans="2:17" x14ac:dyDescent="0.3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</row>
    <row r="79" spans="2:17" x14ac:dyDescent="0.3">
      <c r="B79" s="59"/>
      <c r="C79" s="59"/>
      <c r="D79" s="59"/>
      <c r="E79" s="59"/>
      <c r="F79" s="59"/>
      <c r="G79" s="59"/>
      <c r="H79" s="59"/>
      <c r="I79" s="59"/>
      <c r="J79" s="59"/>
      <c r="K79" s="59"/>
      <c r="P79" s="59"/>
      <c r="Q79" s="59"/>
    </row>
    <row r="80" spans="2:17" x14ac:dyDescent="0.3">
      <c r="B80" s="59"/>
      <c r="C80" s="59"/>
      <c r="D80" s="59"/>
      <c r="E80" s="59"/>
      <c r="F80" s="59"/>
      <c r="G80" s="59"/>
      <c r="H80" s="59"/>
      <c r="I80" s="59"/>
      <c r="J80" s="59"/>
    </row>
    <row r="81" spans="2:10" x14ac:dyDescent="0.3">
      <c r="B81" s="59"/>
      <c r="C81" s="59"/>
      <c r="D81" s="59"/>
      <c r="E81" s="59"/>
      <c r="F81" s="59"/>
      <c r="G81" s="59"/>
      <c r="H81" s="59"/>
      <c r="I81" s="59"/>
      <c r="J81" s="59"/>
    </row>
  </sheetData>
  <mergeCells count="16">
    <mergeCell ref="L28:M28"/>
    <mergeCell ref="L25:M25"/>
    <mergeCell ref="B55:C55"/>
    <mergeCell ref="L9:M9"/>
    <mergeCell ref="L10:M10"/>
    <mergeCell ref="I60:J60"/>
    <mergeCell ref="B60:D60"/>
    <mergeCell ref="B58:D58"/>
    <mergeCell ref="B59:D59"/>
    <mergeCell ref="I58:J58"/>
    <mergeCell ref="I59:J59"/>
    <mergeCell ref="Q53:R53"/>
    <mergeCell ref="Q58:S58"/>
    <mergeCell ref="X58:Y58"/>
    <mergeCell ref="Q56:S56"/>
    <mergeCell ref="Q57:S57"/>
  </mergeCells>
  <pageMargins left="0.7" right="0.7" top="0.75" bottom="0.75" header="0.511811023622047" footer="0.511811023622047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13</xdr:col>
                    <xdr:colOff>68580</xdr:colOff>
                    <xdr:row>27</xdr:row>
                    <xdr:rowOff>30480</xdr:rowOff>
                  </from>
                  <to>
                    <xdr:col>13</xdr:col>
                    <xdr:colOff>297180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13</xdr:col>
                    <xdr:colOff>289560</xdr:colOff>
                    <xdr:row>27</xdr:row>
                    <xdr:rowOff>7620</xdr:rowOff>
                  </from>
                  <to>
                    <xdr:col>13</xdr:col>
                    <xdr:colOff>533400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82"/>
  <sheetViews>
    <sheetView showGridLines="0" topLeftCell="A10" zoomScale="70" zoomScaleNormal="70" zoomScaleSheetLayoutView="40" zoomScalePageLayoutView="70" workbookViewId="0">
      <selection activeCell="N38" sqref="N38"/>
    </sheetView>
  </sheetViews>
  <sheetFormatPr defaultRowHeight="14.4" x14ac:dyDescent="0.3"/>
  <cols>
    <col min="1" max="1" width="2.6640625" customWidth="1"/>
    <col min="2" max="2" width="3.4414062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3"/>
    <col min="22" max="22" width="10" customWidth="1"/>
    <col min="24" max="24" width="6.3320312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1171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80" t="s">
        <v>1097</v>
      </c>
      <c r="K2" s="59"/>
      <c r="L2" s="1083" t="s">
        <v>804</v>
      </c>
      <c r="M2" s="1084"/>
      <c r="O2" s="12"/>
      <c r="P2" s="1654"/>
      <c r="Q2" s="1654"/>
      <c r="R2" s="1654"/>
      <c r="S2" s="1655"/>
      <c r="T2" s="1652" t="s">
        <v>803</v>
      </c>
      <c r="U2" s="1652"/>
      <c r="V2" s="1652"/>
      <c r="W2" s="1653"/>
      <c r="Z2" s="1"/>
      <c r="AA2" s="2"/>
      <c r="AB2" s="2"/>
      <c r="AC2" s="2" t="s">
        <v>0</v>
      </c>
      <c r="AD2" s="2"/>
      <c r="AE2" s="2"/>
      <c r="AF2" s="2"/>
      <c r="AG2" s="2"/>
      <c r="AH2" s="80" t="s">
        <v>1097</v>
      </c>
      <c r="AJ2" s="12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13"/>
    </row>
    <row r="3" spans="2:57" x14ac:dyDescent="0.3">
      <c r="B3" s="4"/>
      <c r="C3" s="71" t="s">
        <v>2</v>
      </c>
      <c r="D3" s="71"/>
      <c r="E3" s="71"/>
      <c r="F3" s="1144" t="s">
        <v>1270</v>
      </c>
      <c r="G3" s="71"/>
      <c r="H3" s="43"/>
      <c r="I3" s="418" t="s">
        <v>802</v>
      </c>
      <c r="J3" s="419">
        <v>3</v>
      </c>
      <c r="K3" s="420"/>
      <c r="L3" s="957" t="s">
        <v>778</v>
      </c>
      <c r="M3" s="958"/>
      <c r="O3" s="457" t="s">
        <v>800</v>
      </c>
      <c r="P3" s="448" t="s">
        <v>461</v>
      </c>
      <c r="Q3" s="448" t="s">
        <v>761</v>
      </c>
      <c r="R3" s="448" t="s">
        <v>760</v>
      </c>
      <c r="S3" s="451" t="s">
        <v>763</v>
      </c>
      <c r="T3" s="452" t="s">
        <v>461</v>
      </c>
      <c r="U3" s="452" t="s">
        <v>152</v>
      </c>
      <c r="V3" s="452" t="s">
        <v>764</v>
      </c>
      <c r="W3" s="458" t="s">
        <v>346</v>
      </c>
      <c r="Z3" s="4"/>
      <c r="AA3" s="71" t="s">
        <v>2</v>
      </c>
      <c r="AB3" s="71"/>
      <c r="AC3" s="71"/>
      <c r="AD3" s="621" t="s">
        <v>1081</v>
      </c>
      <c r="AE3" s="71"/>
      <c r="AF3" s="43"/>
      <c r="AG3" s="418" t="s">
        <v>802</v>
      </c>
      <c r="AH3" s="419">
        <v>27</v>
      </c>
      <c r="AJ3" s="1048"/>
      <c r="AK3" s="333"/>
      <c r="AL3" s="333"/>
      <c r="AM3" s="60"/>
      <c r="AN3" s="60"/>
      <c r="AO3" s="60"/>
      <c r="AP3" s="60"/>
      <c r="AQ3" s="59"/>
      <c r="AR3" s="59"/>
      <c r="AS3" s="59">
        <f>SUM(AL5:BD5)</f>
        <v>1245</v>
      </c>
      <c r="AT3" s="59"/>
      <c r="AU3" s="59"/>
      <c r="AV3" s="59"/>
      <c r="AW3" s="59"/>
      <c r="AX3" s="59"/>
      <c r="AY3" s="59"/>
      <c r="AZ3" s="59"/>
      <c r="BA3" s="59"/>
      <c r="BB3" s="59"/>
      <c r="BC3" s="1151"/>
      <c r="BD3" s="59"/>
      <c r="BE3" s="10"/>
    </row>
    <row r="4" spans="2:57" x14ac:dyDescent="0.3">
      <c r="B4" s="4"/>
      <c r="C4" s="59" t="s">
        <v>4</v>
      </c>
      <c r="D4" s="59"/>
      <c r="E4" s="59"/>
      <c r="F4" s="1145" t="s">
        <v>1271</v>
      </c>
      <c r="G4" s="417"/>
      <c r="H4" s="60"/>
      <c r="I4" s="59"/>
      <c r="J4" s="10"/>
      <c r="K4" s="4"/>
      <c r="L4" s="950">
        <f>VLOOKUP(J3,O4:W12,3,FALSE())</f>
        <v>570</v>
      </c>
      <c r="M4" s="951" t="s">
        <v>761</v>
      </c>
      <c r="N4" s="43"/>
      <c r="O4" s="459">
        <v>11</v>
      </c>
      <c r="P4" s="449">
        <v>290</v>
      </c>
      <c r="Q4" s="449">
        <v>745</v>
      </c>
      <c r="R4" s="449">
        <v>60</v>
      </c>
      <c r="S4" s="453">
        <v>60</v>
      </c>
      <c r="T4" s="452">
        <v>290</v>
      </c>
      <c r="U4" s="452">
        <v>100</v>
      </c>
      <c r="V4" s="452">
        <v>60</v>
      </c>
      <c r="W4" s="458">
        <v>110</v>
      </c>
      <c r="X4" s="334"/>
      <c r="Z4" s="4"/>
      <c r="AA4" s="59" t="s">
        <v>4</v>
      </c>
      <c r="AB4" s="59"/>
      <c r="AC4" s="59"/>
      <c r="AD4" s="622" t="s">
        <v>1082</v>
      </c>
      <c r="AE4" s="514"/>
      <c r="AF4" s="60"/>
      <c r="AG4" s="59"/>
      <c r="AH4" s="10"/>
      <c r="AJ4" s="1048"/>
      <c r="AK4" s="456"/>
      <c r="AL4" s="333"/>
      <c r="AM4" s="60"/>
      <c r="AN4" s="60"/>
      <c r="AO4" s="60"/>
      <c r="AP4" s="60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10"/>
    </row>
    <row r="5" spans="2:57" ht="15" thickBot="1" x14ac:dyDescent="0.35">
      <c r="B5" s="4"/>
      <c r="C5" s="59" t="s">
        <v>6</v>
      </c>
      <c r="D5" s="59"/>
      <c r="E5" s="59"/>
      <c r="F5" s="1146" t="s">
        <v>1208</v>
      </c>
      <c r="G5" s="417"/>
      <c r="H5" s="60"/>
      <c r="I5" s="59"/>
      <c r="J5" s="10"/>
      <c r="K5" s="4"/>
      <c r="L5" s="950">
        <f>VLOOKUP(J3,O4:W12,2,FALSE())</f>
        <v>540</v>
      </c>
      <c r="M5" s="951" t="s">
        <v>461</v>
      </c>
      <c r="N5" s="43"/>
      <c r="O5" s="459">
        <v>3</v>
      </c>
      <c r="P5" s="449">
        <v>540</v>
      </c>
      <c r="Q5" s="449">
        <v>570</v>
      </c>
      <c r="R5" s="449">
        <v>40</v>
      </c>
      <c r="S5" s="453">
        <v>40</v>
      </c>
      <c r="T5" s="452">
        <v>550</v>
      </c>
      <c r="U5" s="452">
        <v>120</v>
      </c>
      <c r="V5" s="452">
        <v>40</v>
      </c>
      <c r="W5" s="458">
        <v>75</v>
      </c>
      <c r="X5" s="334"/>
      <c r="Z5" s="4"/>
      <c r="AA5" s="59" t="s">
        <v>6</v>
      </c>
      <c r="AB5" s="59"/>
      <c r="AC5" s="59"/>
      <c r="AD5" s="622" t="s">
        <v>1083</v>
      </c>
      <c r="AE5" s="514"/>
      <c r="AF5" s="60"/>
      <c r="AG5" s="59"/>
      <c r="AH5" s="10"/>
      <c r="AJ5" s="4"/>
      <c r="AK5" s="59"/>
      <c r="AL5" s="59">
        <v>10</v>
      </c>
      <c r="AM5" s="59">
        <v>1195</v>
      </c>
      <c r="AN5" s="59">
        <v>20</v>
      </c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>
        <v>20</v>
      </c>
      <c r="BA5" s="59"/>
      <c r="BB5" s="59"/>
      <c r="BE5" s="10"/>
    </row>
    <row r="6" spans="2:57" ht="15" thickBot="1" x14ac:dyDescent="0.35">
      <c r="B6" s="4"/>
      <c r="C6" s="59" t="s">
        <v>10</v>
      </c>
      <c r="D6" s="59"/>
      <c r="E6" s="59"/>
      <c r="F6" s="604" t="s">
        <v>1273</v>
      </c>
      <c r="G6" s="335"/>
      <c r="H6" s="17"/>
      <c r="I6" s="59"/>
      <c r="J6" s="10"/>
      <c r="K6" s="4"/>
      <c r="L6" s="950">
        <f>VLOOKUP(J3,O4:W12,4,FALSE())</f>
        <v>40</v>
      </c>
      <c r="M6" s="951" t="s">
        <v>760</v>
      </c>
      <c r="N6" s="43"/>
      <c r="O6" s="459">
        <v>22</v>
      </c>
      <c r="P6" s="449">
        <v>240</v>
      </c>
      <c r="Q6" s="449">
        <v>735</v>
      </c>
      <c r="R6" s="449">
        <v>40</v>
      </c>
      <c r="S6" s="453">
        <v>40</v>
      </c>
      <c r="T6" s="452"/>
      <c r="U6" s="455"/>
      <c r="V6" s="455"/>
      <c r="W6" s="460"/>
      <c r="X6" s="334"/>
      <c r="Z6" s="4"/>
      <c r="AA6" s="59" t="s">
        <v>10</v>
      </c>
      <c r="AB6" s="59"/>
      <c r="AC6" s="59"/>
      <c r="AD6" s="1129" t="s">
        <v>1084</v>
      </c>
      <c r="AE6" s="335"/>
      <c r="AF6" s="17"/>
      <c r="AG6" s="59"/>
      <c r="AH6" s="10"/>
      <c r="AJ6" s="4"/>
      <c r="AK6" s="59">
        <v>10</v>
      </c>
      <c r="AL6" s="12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13"/>
      <c r="BA6" s="60"/>
      <c r="BB6" s="59"/>
      <c r="BC6" s="59"/>
      <c r="BD6" s="59"/>
      <c r="BE6" s="10"/>
    </row>
    <row r="7" spans="2:57" ht="15" thickBot="1" x14ac:dyDescent="0.35">
      <c r="B7" s="19"/>
      <c r="C7" s="65"/>
      <c r="D7" s="65"/>
      <c r="E7" s="65"/>
      <c r="F7" s="1147"/>
      <c r="G7" s="65"/>
      <c r="H7" s="65"/>
      <c r="I7" s="65"/>
      <c r="J7" s="40"/>
      <c r="K7" s="59"/>
      <c r="L7" s="950">
        <f>VLOOKUP(J3,O4:W12,5,FALSE())</f>
        <v>40</v>
      </c>
      <c r="M7" s="951" t="s">
        <v>763</v>
      </c>
      <c r="N7" s="43"/>
      <c r="O7" s="459">
        <v>27</v>
      </c>
      <c r="P7" s="449">
        <v>240</v>
      </c>
      <c r="Q7" s="449">
        <v>1050</v>
      </c>
      <c r="R7" s="449">
        <v>40</v>
      </c>
      <c r="S7" s="453">
        <v>40</v>
      </c>
      <c r="T7" s="452">
        <v>250</v>
      </c>
      <c r="U7" s="455">
        <v>80</v>
      </c>
      <c r="V7" s="455">
        <v>40</v>
      </c>
      <c r="W7" s="460">
        <v>40</v>
      </c>
      <c r="X7" s="334" t="s">
        <v>219</v>
      </c>
      <c r="Z7" s="19"/>
      <c r="AA7" s="65"/>
      <c r="AB7" s="65"/>
      <c r="AC7" s="65"/>
      <c r="AD7" s="623"/>
      <c r="AE7" s="65"/>
      <c r="AF7" s="65"/>
      <c r="AG7" s="65"/>
      <c r="AH7" s="40"/>
      <c r="AJ7" s="4"/>
      <c r="AK7" s="514">
        <v>60</v>
      </c>
      <c r="AL7" s="1058"/>
      <c r="AM7" s="938">
        <v>2</v>
      </c>
      <c r="AN7" s="1072"/>
      <c r="AO7" s="1072"/>
      <c r="AP7" s="1072"/>
      <c r="AQ7" s="1072"/>
      <c r="AR7" s="1072"/>
      <c r="AS7" s="1072"/>
      <c r="AT7" s="1072"/>
      <c r="AU7" s="1072"/>
      <c r="AV7" s="1072"/>
      <c r="AW7" s="1072"/>
      <c r="AX7" s="939"/>
      <c r="AY7" s="4"/>
      <c r="AZ7" s="10"/>
      <c r="BA7" s="60"/>
      <c r="BB7" s="59"/>
      <c r="BC7" s="59"/>
      <c r="BD7" s="59"/>
      <c r="BE7" s="10"/>
    </row>
    <row r="8" spans="2:57" ht="15" thickBot="1" x14ac:dyDescent="0.35">
      <c r="B8" s="12"/>
      <c r="C8" s="71" t="s">
        <v>16</v>
      </c>
      <c r="D8" s="71"/>
      <c r="E8" s="71"/>
      <c r="F8" s="1300" t="s">
        <v>28</v>
      </c>
      <c r="G8" s="71"/>
      <c r="H8" s="71"/>
      <c r="I8" s="71"/>
      <c r="J8" s="13"/>
      <c r="K8" s="59"/>
      <c r="L8" s="952">
        <f>(L6+L7)/2</f>
        <v>40</v>
      </c>
      <c r="M8" s="951" t="s">
        <v>779</v>
      </c>
      <c r="N8" s="43"/>
      <c r="O8" s="459">
        <v>28</v>
      </c>
      <c r="P8" s="449">
        <v>280</v>
      </c>
      <c r="Q8" s="449">
        <v>1000</v>
      </c>
      <c r="R8" s="449">
        <v>60</v>
      </c>
      <c r="S8" s="453">
        <v>60</v>
      </c>
      <c r="T8" s="452">
        <v>280</v>
      </c>
      <c r="U8" s="455">
        <v>100</v>
      </c>
      <c r="V8" s="455">
        <v>60</v>
      </c>
      <c r="W8" s="460">
        <v>80</v>
      </c>
      <c r="X8" s="334"/>
      <c r="Z8" s="4"/>
      <c r="AA8" s="59" t="s">
        <v>16</v>
      </c>
      <c r="AB8" s="59"/>
      <c r="AC8" s="59"/>
      <c r="AD8" s="17" t="s">
        <v>28</v>
      </c>
      <c r="AE8" s="59"/>
      <c r="AF8" s="43"/>
      <c r="AG8" s="59"/>
      <c r="AH8" s="15"/>
      <c r="AJ8" s="4"/>
      <c r="AK8" s="59">
        <v>20</v>
      </c>
      <c r="AL8" s="4"/>
      <c r="AM8" s="1049"/>
      <c r="AN8" s="59"/>
      <c r="AO8" s="1049"/>
      <c r="AP8" s="60"/>
      <c r="AQ8" s="1049"/>
      <c r="AR8" s="1049"/>
      <c r="AS8" s="1049"/>
      <c r="AT8" s="1049"/>
      <c r="AU8" s="1049"/>
      <c r="AV8" s="1049"/>
      <c r="AW8" s="59"/>
      <c r="AX8" s="2"/>
      <c r="AY8" s="59"/>
      <c r="AZ8" s="10"/>
      <c r="BA8" s="60"/>
      <c r="BB8" s="59"/>
      <c r="BC8" s="59"/>
      <c r="BD8" s="59"/>
      <c r="BE8" s="10"/>
    </row>
    <row r="9" spans="2:57" ht="15" thickBot="1" x14ac:dyDescent="0.35">
      <c r="B9" s="4"/>
      <c r="C9" s="59" t="s">
        <v>19</v>
      </c>
      <c r="D9" s="59"/>
      <c r="E9" s="59"/>
      <c r="F9" s="516">
        <f>IF(M23=0,IF(M24&lt;100,ROUNDUP(M24,1),ROUNDUP(M24,0)),M23)</f>
        <v>0.26</v>
      </c>
      <c r="G9" s="59"/>
      <c r="H9" s="17"/>
      <c r="I9" s="59" t="s">
        <v>17</v>
      </c>
      <c r="J9" s="15">
        <f>F9/F11</f>
        <v>5.5319148936170223E-2</v>
      </c>
      <c r="K9" s="178"/>
      <c r="L9" s="598"/>
      <c r="M9" s="953"/>
      <c r="N9" s="43"/>
      <c r="O9" s="459">
        <v>23</v>
      </c>
      <c r="P9" s="449">
        <v>370</v>
      </c>
      <c r="Q9" s="449">
        <f>1440-150</f>
        <v>1290</v>
      </c>
      <c r="R9" s="449">
        <v>70</v>
      </c>
      <c r="S9" s="453">
        <v>80</v>
      </c>
      <c r="T9" s="452">
        <v>370</v>
      </c>
      <c r="U9" s="455">
        <v>130</v>
      </c>
      <c r="V9" s="455">
        <v>80</v>
      </c>
      <c r="W9" s="460">
        <v>150</v>
      </c>
      <c r="X9" s="333" t="s">
        <v>219</v>
      </c>
      <c r="Z9" s="4"/>
      <c r="AA9" s="59" t="s">
        <v>19</v>
      </c>
      <c r="AB9" s="59"/>
      <c r="AC9" s="59"/>
      <c r="AD9" s="516">
        <v>2.2000000000000002</v>
      </c>
      <c r="AE9" s="59"/>
      <c r="AF9" s="79"/>
      <c r="AG9" s="59"/>
      <c r="AH9" s="15"/>
      <c r="AJ9" s="4"/>
      <c r="AK9" s="181">
        <v>120</v>
      </c>
      <c r="AL9" s="1058"/>
      <c r="AM9" s="938">
        <v>2</v>
      </c>
      <c r="AN9" s="1072"/>
      <c r="AO9" s="1072"/>
      <c r="AP9" s="1072"/>
      <c r="AQ9" s="1072"/>
      <c r="AR9" s="1072"/>
      <c r="AS9" s="1072"/>
      <c r="AT9" s="1072"/>
      <c r="AU9" s="1072"/>
      <c r="AV9" s="1072"/>
      <c r="AW9" s="1072"/>
      <c r="AX9" s="939"/>
      <c r="AY9" s="4"/>
      <c r="AZ9" s="10"/>
      <c r="BA9" s="60"/>
      <c r="BB9" s="59"/>
      <c r="BC9" s="59"/>
      <c r="BD9" s="59"/>
      <c r="BE9" s="10"/>
    </row>
    <row r="10" spans="2:57" x14ac:dyDescent="0.3">
      <c r="B10" s="4"/>
      <c r="C10" s="59" t="s">
        <v>22</v>
      </c>
      <c r="D10" s="59"/>
      <c r="E10" s="59"/>
      <c r="F10" s="516">
        <f>IF(M17&lt;100,ROUNDUP(M17,1),ROUNDUP(M17,0))</f>
        <v>92.399999999999991</v>
      </c>
      <c r="G10" s="59"/>
      <c r="H10" s="16"/>
      <c r="I10" s="59" t="s">
        <v>17</v>
      </c>
      <c r="J10" s="15">
        <f>F9/F15</f>
        <v>4.1269841269841276E-2</v>
      </c>
      <c r="K10" s="178"/>
      <c r="L10" s="959" t="s">
        <v>79</v>
      </c>
      <c r="M10" s="960"/>
      <c r="N10" s="43"/>
      <c r="O10" s="461">
        <v>21</v>
      </c>
      <c r="P10" s="450">
        <v>490</v>
      </c>
      <c r="Q10" s="450">
        <v>1320</v>
      </c>
      <c r="R10" s="450">
        <v>100</v>
      </c>
      <c r="S10" s="454">
        <v>103</v>
      </c>
      <c r="T10" s="452">
        <v>490</v>
      </c>
      <c r="U10" s="455">
        <v>120</v>
      </c>
      <c r="V10" s="455">
        <v>103</v>
      </c>
      <c r="W10" s="460">
        <v>150</v>
      </c>
      <c r="X10" s="333"/>
      <c r="Z10" s="4"/>
      <c r="AA10" s="59" t="s">
        <v>22</v>
      </c>
      <c r="AB10" s="59"/>
      <c r="AC10" s="59"/>
      <c r="AD10" s="516">
        <v>75.599999999999994</v>
      </c>
      <c r="AE10" s="59"/>
      <c r="AF10" s="16"/>
      <c r="AG10" s="59"/>
      <c r="AH10" s="15"/>
      <c r="AJ10" s="4"/>
      <c r="AK10" s="59">
        <v>40</v>
      </c>
      <c r="AL10" s="4"/>
      <c r="AM10" s="1055"/>
      <c r="AN10" s="71"/>
      <c r="AO10" s="737"/>
      <c r="AP10" s="71"/>
      <c r="AQ10" s="1055"/>
      <c r="AR10" s="71"/>
      <c r="AS10" s="1055"/>
      <c r="AT10" s="71"/>
      <c r="AU10" s="1055"/>
      <c r="AV10" s="71"/>
      <c r="AW10" s="1055"/>
      <c r="AX10" s="71"/>
      <c r="AY10" s="737"/>
      <c r="AZ10" s="10"/>
      <c r="BA10" s="60"/>
      <c r="BB10" s="59"/>
      <c r="BC10" s="59"/>
      <c r="BD10" s="59"/>
      <c r="BE10" s="10"/>
    </row>
    <row r="11" spans="2:57" x14ac:dyDescent="0.3">
      <c r="B11" s="4"/>
      <c r="C11" s="59" t="s">
        <v>80</v>
      </c>
      <c r="D11" s="59"/>
      <c r="E11" s="59"/>
      <c r="F11" s="516">
        <f>ROUNDUP(F10/F16,1)</f>
        <v>4.6999999999999993</v>
      </c>
      <c r="G11" s="59"/>
      <c r="H11" s="16"/>
      <c r="I11" s="59"/>
      <c r="J11" s="10"/>
      <c r="K11" s="417"/>
      <c r="L11" s="950">
        <f>VLOOKUP(J3,O4:W12,7,FALSE())</f>
        <v>120</v>
      </c>
      <c r="M11" s="951" t="s">
        <v>761</v>
      </c>
      <c r="N11" s="43"/>
      <c r="O11" s="459" t="s">
        <v>801</v>
      </c>
      <c r="P11" s="449">
        <v>490</v>
      </c>
      <c r="Q11" s="449">
        <v>1320</v>
      </c>
      <c r="R11" s="449">
        <v>50</v>
      </c>
      <c r="S11" s="453">
        <v>51</v>
      </c>
      <c r="T11" s="452">
        <v>490</v>
      </c>
      <c r="U11" s="455">
        <v>120</v>
      </c>
      <c r="V11" s="455">
        <v>51</v>
      </c>
      <c r="W11" s="460">
        <v>75</v>
      </c>
      <c r="X11" s="333"/>
      <c r="Z11" s="4"/>
      <c r="AA11" s="59" t="s">
        <v>80</v>
      </c>
      <c r="AB11" s="59"/>
      <c r="AC11" s="59"/>
      <c r="AD11" s="516">
        <v>12.6</v>
      </c>
      <c r="AE11" s="59"/>
      <c r="AF11" s="16"/>
      <c r="AG11" s="59"/>
      <c r="AH11" s="15"/>
      <c r="AJ11" s="4">
        <f>SUM(AK6:AK14)</f>
        <v>480</v>
      </c>
      <c r="AK11" s="514">
        <v>120</v>
      </c>
      <c r="AL11" s="1056"/>
      <c r="AM11" s="1076">
        <v>1</v>
      </c>
      <c r="AN11" s="1050"/>
      <c r="AO11" s="1076">
        <v>1</v>
      </c>
      <c r="AP11" s="1050"/>
      <c r="AQ11" s="1076">
        <v>1</v>
      </c>
      <c r="AR11" s="1050"/>
      <c r="AS11" s="1076">
        <v>1</v>
      </c>
      <c r="AT11" s="696"/>
      <c r="AU11" s="1076">
        <v>1</v>
      </c>
      <c r="AV11" s="1050"/>
      <c r="AW11" s="1076">
        <v>1</v>
      </c>
      <c r="AX11" s="1050"/>
      <c r="AY11" s="1076">
        <v>1</v>
      </c>
      <c r="AZ11" s="1053"/>
      <c r="BA11" s="60"/>
      <c r="BB11" s="59"/>
      <c r="BC11" s="59"/>
      <c r="BD11" s="59"/>
      <c r="BE11" s="10"/>
    </row>
    <row r="12" spans="2:57" ht="15" thickBot="1" x14ac:dyDescent="0.35">
      <c r="B12" s="4"/>
      <c r="C12" s="59" t="s">
        <v>27</v>
      </c>
      <c r="D12" s="59"/>
      <c r="E12" s="59"/>
      <c r="F12" s="516">
        <f>IF(M18&lt;100,ROUNDUP(M18,1),ROUNDUP(M18,0))</f>
        <v>121</v>
      </c>
      <c r="G12" s="59"/>
      <c r="H12" s="16"/>
      <c r="I12" s="59"/>
      <c r="J12" s="18"/>
      <c r="K12" s="417"/>
      <c r="L12" s="950">
        <f>VLOOKUP(J3,O4:W12,6,FALSE())</f>
        <v>550</v>
      </c>
      <c r="M12" s="951" t="s">
        <v>461</v>
      </c>
      <c r="N12" s="43"/>
      <c r="O12" s="462">
        <v>30</v>
      </c>
      <c r="P12" s="463">
        <v>510</v>
      </c>
      <c r="Q12" s="463">
        <v>1300</v>
      </c>
      <c r="R12" s="463">
        <v>45</v>
      </c>
      <c r="S12" s="464">
        <v>50</v>
      </c>
      <c r="T12" s="465">
        <v>510</v>
      </c>
      <c r="U12" s="466">
        <v>160</v>
      </c>
      <c r="V12" s="466">
        <v>50</v>
      </c>
      <c r="W12" s="467">
        <v>75</v>
      </c>
      <c r="X12" s="456"/>
      <c r="Y12" s="1029"/>
      <c r="Z12" s="4"/>
      <c r="AA12" s="59" t="s">
        <v>27</v>
      </c>
      <c r="AB12" s="59"/>
      <c r="AC12" s="59"/>
      <c r="AD12" s="516">
        <v>81.599999999999994</v>
      </c>
      <c r="AE12" s="59"/>
      <c r="AF12" s="16"/>
      <c r="AG12" s="59"/>
      <c r="AH12" s="18"/>
      <c r="AJ12" s="4"/>
      <c r="AK12" s="59">
        <v>40</v>
      </c>
      <c r="AL12" s="4"/>
      <c r="AM12" s="1054"/>
      <c r="AN12" s="59"/>
      <c r="AO12" s="1054"/>
      <c r="AP12" s="59"/>
      <c r="AQ12" s="1054"/>
      <c r="AR12" s="59"/>
      <c r="AS12" s="1054"/>
      <c r="AT12" s="59"/>
      <c r="AU12" s="1054"/>
      <c r="AV12" s="59"/>
      <c r="AW12" s="1054"/>
      <c r="AX12" s="59"/>
      <c r="AY12" s="1054"/>
      <c r="AZ12" s="10"/>
      <c r="BA12" s="60"/>
      <c r="BB12" s="59"/>
      <c r="BC12" s="59"/>
      <c r="BD12" s="59"/>
      <c r="BE12" s="10"/>
    </row>
    <row r="13" spans="2:57" x14ac:dyDescent="0.3">
      <c r="B13" s="4"/>
      <c r="C13" s="59" t="s">
        <v>29</v>
      </c>
      <c r="D13" s="59"/>
      <c r="E13" s="59"/>
      <c r="F13" s="516">
        <f>ROUNDUP(F12/F16,1)</f>
        <v>6.1</v>
      </c>
      <c r="G13" s="59"/>
      <c r="H13" s="16"/>
      <c r="I13" s="59"/>
      <c r="J13" s="18"/>
      <c r="K13" s="417"/>
      <c r="L13" s="950">
        <f>VLOOKUP(J3,O4:W12,8,FALSE())</f>
        <v>40</v>
      </c>
      <c r="M13" s="951" t="s">
        <v>780</v>
      </c>
      <c r="N13" s="43"/>
      <c r="X13" s="60"/>
      <c r="Y13" s="1029"/>
      <c r="Z13" s="4"/>
      <c r="AA13" s="59" t="s">
        <v>29</v>
      </c>
      <c r="AB13" s="59"/>
      <c r="AC13" s="59"/>
      <c r="AD13" s="516">
        <v>13.6</v>
      </c>
      <c r="AE13" s="59"/>
      <c r="AF13" s="16"/>
      <c r="AG13" s="59"/>
      <c r="AH13" s="18"/>
      <c r="AJ13" s="4"/>
      <c r="AK13" s="514">
        <v>60</v>
      </c>
      <c r="AL13" s="1056"/>
      <c r="AM13" s="1076">
        <v>1</v>
      </c>
      <c r="AN13" s="1050"/>
      <c r="AO13" s="1076">
        <v>1</v>
      </c>
      <c r="AP13" s="1050"/>
      <c r="AQ13" s="1076">
        <v>1</v>
      </c>
      <c r="AR13" s="1050"/>
      <c r="AS13" s="1076">
        <v>1</v>
      </c>
      <c r="AT13" s="1050"/>
      <c r="AU13" s="1076">
        <v>1</v>
      </c>
      <c r="AV13" s="1050"/>
      <c r="AW13" s="1076">
        <v>1</v>
      </c>
      <c r="AX13" s="1050"/>
      <c r="AY13" s="1076">
        <v>1</v>
      </c>
      <c r="AZ13" s="1053"/>
      <c r="BA13" s="60"/>
      <c r="BB13" s="59"/>
      <c r="BC13" s="59"/>
      <c r="BD13" s="59"/>
      <c r="BE13" s="10"/>
    </row>
    <row r="14" spans="2:57" ht="15" thickBot="1" x14ac:dyDescent="0.35">
      <c r="B14" s="4"/>
      <c r="C14" s="59" t="s">
        <v>32</v>
      </c>
      <c r="D14" s="59"/>
      <c r="E14" s="59"/>
      <c r="F14" s="516">
        <f>IF(F12&lt;97,ROUNDUP(M18*1.04,1),ROUNDUP(M18*1.04,0))</f>
        <v>126</v>
      </c>
      <c r="G14" s="59"/>
      <c r="H14" s="16"/>
      <c r="I14" s="59"/>
      <c r="J14" s="18"/>
      <c r="K14" s="417"/>
      <c r="L14" s="950">
        <f>VLOOKUP(J3,O4:W12,9,FALSE())</f>
        <v>75</v>
      </c>
      <c r="M14" s="951" t="s">
        <v>781</v>
      </c>
      <c r="N14" s="43"/>
      <c r="X14" s="60"/>
      <c r="Y14" s="1029"/>
      <c r="Z14" s="4"/>
      <c r="AA14" s="59" t="s">
        <v>32</v>
      </c>
      <c r="AB14" s="59"/>
      <c r="AC14" s="59"/>
      <c r="AD14" s="516">
        <f>IF(AD12&lt;97,ROUNDUP(AD12*1.04,1),ROUNDUP(AD12*1.04,0))</f>
        <v>84.899999999999991</v>
      </c>
      <c r="AE14" s="59"/>
      <c r="AF14" s="16"/>
      <c r="AG14" s="59"/>
      <c r="AH14" s="18"/>
      <c r="AJ14" s="4"/>
      <c r="AK14" s="59">
        <v>10</v>
      </c>
      <c r="AL14" s="19"/>
      <c r="AM14" s="1059"/>
      <c r="AN14" s="65"/>
      <c r="AO14" s="1057"/>
      <c r="AP14" s="65"/>
      <c r="AQ14" s="1057"/>
      <c r="AR14" s="65"/>
      <c r="AS14" s="1057"/>
      <c r="AT14" s="65"/>
      <c r="AU14" s="1057"/>
      <c r="AV14" s="65"/>
      <c r="AW14" s="1057"/>
      <c r="AX14" s="65"/>
      <c r="AY14" s="1057"/>
      <c r="AZ14" s="40"/>
      <c r="BA14" s="60"/>
      <c r="BB14" s="59"/>
      <c r="BC14" s="59"/>
      <c r="BD14" s="59"/>
      <c r="BE14" s="10"/>
    </row>
    <row r="15" spans="2:57" ht="15" thickBot="1" x14ac:dyDescent="0.35">
      <c r="B15" s="4"/>
      <c r="C15" s="59" t="s">
        <v>34</v>
      </c>
      <c r="D15" s="59"/>
      <c r="E15" s="59"/>
      <c r="F15" s="516">
        <f>ROUNDUP(F14/F16,1)</f>
        <v>6.3</v>
      </c>
      <c r="G15" s="59"/>
      <c r="H15" s="16"/>
      <c r="I15" s="59"/>
      <c r="J15" s="18"/>
      <c r="K15" s="417"/>
      <c r="L15" s="952">
        <f>(L13+L14)/2</f>
        <v>57.5</v>
      </c>
      <c r="M15" s="951" t="s">
        <v>782</v>
      </c>
      <c r="N15" s="43"/>
      <c r="O15" s="1026"/>
      <c r="P15" s="1132"/>
      <c r="Q15" s="1618" t="s">
        <v>1055</v>
      </c>
      <c r="R15" s="1618"/>
      <c r="S15" s="1618"/>
      <c r="T15" s="1618"/>
      <c r="U15" s="1618"/>
      <c r="V15" s="1027"/>
      <c r="X15" s="60"/>
      <c r="Z15" s="4"/>
      <c r="AA15" s="59" t="s">
        <v>34</v>
      </c>
      <c r="AB15" s="59"/>
      <c r="AC15" s="59"/>
      <c r="AD15" s="516">
        <v>14.2</v>
      </c>
      <c r="AE15" s="59"/>
      <c r="AF15" s="16"/>
      <c r="AG15" s="59"/>
      <c r="AH15" s="18"/>
      <c r="AJ15" s="4"/>
      <c r="AK15" s="514"/>
      <c r="AL15" s="514">
        <v>10</v>
      </c>
      <c r="AM15" s="514">
        <v>20</v>
      </c>
      <c r="AN15" s="514">
        <v>20</v>
      </c>
      <c r="AO15" s="514">
        <v>20</v>
      </c>
      <c r="AP15" s="514">
        <v>20</v>
      </c>
      <c r="AQ15" s="514">
        <v>20</v>
      </c>
      <c r="AR15" s="514">
        <v>20</v>
      </c>
      <c r="AS15" s="514">
        <v>20</v>
      </c>
      <c r="AT15" s="514">
        <v>20</v>
      </c>
      <c r="AU15" s="514">
        <v>20</v>
      </c>
      <c r="AV15" s="514">
        <v>20</v>
      </c>
      <c r="AW15" s="514">
        <v>20</v>
      </c>
      <c r="AX15" s="514">
        <v>20</v>
      </c>
      <c r="AY15" s="514">
        <v>20</v>
      </c>
      <c r="AZ15" s="514">
        <v>20</v>
      </c>
      <c r="BA15" s="514"/>
      <c r="BB15" s="514"/>
      <c r="BC15" s="514"/>
      <c r="BD15" s="514"/>
      <c r="BE15" s="10"/>
    </row>
    <row r="16" spans="2:57" ht="15" thickBot="1" x14ac:dyDescent="0.35">
      <c r="B16" s="4"/>
      <c r="C16" s="59" t="s">
        <v>36</v>
      </c>
      <c r="D16" s="59"/>
      <c r="E16" s="59"/>
      <c r="F16" s="168">
        <f>F17*F18</f>
        <v>20</v>
      </c>
      <c r="G16" s="335"/>
      <c r="H16" s="75"/>
      <c r="I16" s="59"/>
      <c r="J16" s="18"/>
      <c r="K16" s="417"/>
      <c r="L16" s="598"/>
      <c r="M16" s="988">
        <f>VLOOKUP(F8,C69:F82,3,)</f>
        <v>7.5</v>
      </c>
      <c r="N16" s="43"/>
      <c r="O16" s="1080" t="s">
        <v>1087</v>
      </c>
      <c r="P16" s="1081">
        <v>1</v>
      </c>
      <c r="Q16" s="1081">
        <v>2</v>
      </c>
      <c r="R16" s="1081">
        <v>3</v>
      </c>
      <c r="S16" s="1081">
        <v>4</v>
      </c>
      <c r="T16" s="619">
        <v>5</v>
      </c>
      <c r="U16" s="1133" t="s">
        <v>859</v>
      </c>
      <c r="V16" s="619"/>
      <c r="X16" s="60"/>
      <c r="Z16" s="4"/>
      <c r="AA16" s="59" t="s">
        <v>36</v>
      </c>
      <c r="AB16" s="59"/>
      <c r="AC16" s="59"/>
      <c r="AD16" s="168">
        <f>AD17*AD18</f>
        <v>6</v>
      </c>
      <c r="AH16" s="18"/>
      <c r="AJ16" s="4"/>
      <c r="AK16" s="514"/>
      <c r="AL16" s="514"/>
      <c r="AM16" s="514"/>
      <c r="AN16" s="514"/>
      <c r="AO16" s="514"/>
      <c r="AP16" s="514"/>
      <c r="AQ16" s="514"/>
      <c r="AR16" s="514"/>
      <c r="AS16" s="514"/>
      <c r="AT16" s="514"/>
      <c r="AU16" s="514"/>
      <c r="AV16" s="514"/>
      <c r="AW16" s="514"/>
      <c r="AX16" s="514"/>
      <c r="AY16" s="514"/>
      <c r="AZ16" s="514"/>
      <c r="BA16" s="514"/>
      <c r="BB16" s="514"/>
      <c r="BC16" s="514"/>
      <c r="BD16" s="514"/>
      <c r="BE16" s="10"/>
    </row>
    <row r="17" spans="2:57" x14ac:dyDescent="0.3">
      <c r="B17" s="4"/>
      <c r="C17" s="59" t="s">
        <v>38</v>
      </c>
      <c r="D17" s="59"/>
      <c r="E17" s="59"/>
      <c r="F17" s="624">
        <v>20</v>
      </c>
      <c r="G17" s="514"/>
      <c r="H17" s="75"/>
      <c r="I17" s="59"/>
      <c r="J17" s="18"/>
      <c r="K17" s="417"/>
      <c r="L17" s="989" t="s">
        <v>325</v>
      </c>
      <c r="M17" s="990">
        <f>IF(N26=TRUE,M28*L5*L8*M16/1000000,L4*L5*L8*M16/1000000)</f>
        <v>92.34</v>
      </c>
      <c r="N17" s="43"/>
      <c r="O17" s="1077" t="s">
        <v>1019</v>
      </c>
      <c r="P17" s="1135">
        <v>1</v>
      </c>
      <c r="Q17" s="1136">
        <v>1</v>
      </c>
      <c r="R17" s="1136">
        <v>2</v>
      </c>
      <c r="S17" s="1136">
        <v>1</v>
      </c>
      <c r="T17" s="1137">
        <v>1</v>
      </c>
      <c r="U17" s="1648"/>
      <c r="V17" s="1649"/>
      <c r="X17" s="60"/>
      <c r="Z17" s="4"/>
      <c r="AA17" s="59" t="s">
        <v>40</v>
      </c>
      <c r="AB17" s="59"/>
      <c r="AC17" s="59"/>
      <c r="AD17" s="1131">
        <v>2</v>
      </c>
      <c r="AE17" s="335"/>
      <c r="AF17" s="75"/>
      <c r="AG17" s="59"/>
      <c r="AH17" s="18"/>
      <c r="AJ17" s="4"/>
      <c r="AK17" s="514"/>
      <c r="AL17" s="514"/>
      <c r="AM17" s="514"/>
      <c r="AN17" s="514"/>
      <c r="AO17" s="514"/>
      <c r="AP17" s="514"/>
      <c r="AQ17" s="514"/>
      <c r="AR17" s="514"/>
      <c r="AS17" s="514">
        <f>SUM(AL15:BC15)</f>
        <v>290</v>
      </c>
      <c r="AT17" s="514"/>
      <c r="AU17" s="514"/>
      <c r="AV17" s="514"/>
      <c r="AW17" s="514"/>
      <c r="AX17" s="514"/>
      <c r="AY17" s="514"/>
      <c r="AZ17" s="514"/>
      <c r="BA17" s="514"/>
      <c r="BB17" s="514"/>
      <c r="BC17" s="514"/>
      <c r="BD17" s="514"/>
      <c r="BE17" s="10"/>
    </row>
    <row r="18" spans="2:57" ht="15" thickBot="1" x14ac:dyDescent="0.35">
      <c r="B18" s="19"/>
      <c r="C18" s="65" t="s">
        <v>40</v>
      </c>
      <c r="D18" s="65"/>
      <c r="E18" s="65"/>
      <c r="F18" s="625">
        <v>1</v>
      </c>
      <c r="G18" s="1128"/>
      <c r="H18" s="76"/>
      <c r="I18" s="65"/>
      <c r="J18" s="1150"/>
      <c r="K18" s="417"/>
      <c r="L18" s="991" t="s">
        <v>1038</v>
      </c>
      <c r="M18" s="992">
        <f>IF(N26=TRUE,M27*L5*L8*M16/1000000,(L4*L5*L8*M16+L11*L12*L15*M16)/1000000)</f>
        <v>120.80249999999999</v>
      </c>
      <c r="N18" s="43"/>
      <c r="O18" s="1022" t="s">
        <v>1056</v>
      </c>
      <c r="P18" s="4">
        <v>1.5</v>
      </c>
      <c r="Q18" s="966">
        <v>1.5</v>
      </c>
      <c r="R18" s="966">
        <v>2.1</v>
      </c>
      <c r="S18" s="966">
        <v>1.9</v>
      </c>
      <c r="T18" s="70">
        <v>1.9</v>
      </c>
      <c r="U18" s="1650"/>
      <c r="V18" s="1651"/>
      <c r="X18" s="60"/>
      <c r="Z18" s="19"/>
      <c r="AA18" s="59" t="s">
        <v>38</v>
      </c>
      <c r="AB18" s="65"/>
      <c r="AC18" s="65"/>
      <c r="AD18" s="625">
        <v>3</v>
      </c>
      <c r="AE18" s="423"/>
      <c r="AF18" s="76"/>
      <c r="AG18" s="65"/>
      <c r="AH18" s="22"/>
      <c r="AJ18" s="4"/>
      <c r="AK18" s="514"/>
      <c r="AL18" s="514"/>
      <c r="AM18" s="514"/>
      <c r="AN18" s="514"/>
      <c r="AO18" s="514"/>
      <c r="AP18" s="514"/>
      <c r="AQ18" s="514"/>
      <c r="AR18" s="514"/>
      <c r="AS18" s="514"/>
      <c r="AT18" s="514"/>
      <c r="AU18" s="514"/>
      <c r="AV18" s="514"/>
      <c r="AW18" s="514"/>
      <c r="AX18" s="514"/>
      <c r="AY18" s="514"/>
      <c r="AZ18" s="514"/>
      <c r="BA18" s="514"/>
      <c r="BB18" s="514"/>
      <c r="BC18" s="514"/>
      <c r="BD18" s="514"/>
      <c r="BE18" s="10"/>
    </row>
    <row r="19" spans="2:57" ht="15" thickBot="1" x14ac:dyDescent="0.35">
      <c r="B19" s="12"/>
      <c r="E19" s="71"/>
      <c r="F19" s="71"/>
      <c r="G19" s="71"/>
      <c r="H19" s="71"/>
      <c r="J19" s="519"/>
      <c r="K19" s="24"/>
      <c r="L19" s="1082" t="s">
        <v>84</v>
      </c>
      <c r="M19" s="1039"/>
      <c r="N19" s="43"/>
      <c r="O19" s="1080"/>
      <c r="P19" s="1081">
        <f t="shared" ref="P19" si="0">P18*P17</f>
        <v>1.5</v>
      </c>
      <c r="Q19" s="1081">
        <f>Q18*Q17</f>
        <v>1.5</v>
      </c>
      <c r="R19" s="1081">
        <f>R18*R17</f>
        <v>4.2</v>
      </c>
      <c r="S19" s="1081">
        <f t="shared" ref="S19:T19" si="1">S18*S17</f>
        <v>1.9</v>
      </c>
      <c r="T19" s="619">
        <f t="shared" si="1"/>
        <v>1.9</v>
      </c>
      <c r="U19" s="1134">
        <f>SUM(P19:T19)</f>
        <v>11</v>
      </c>
      <c r="V19" s="619"/>
      <c r="X19" s="60"/>
      <c r="Z19" s="12"/>
      <c r="AA19" s="71"/>
      <c r="AB19" s="503"/>
      <c r="AC19" s="71"/>
      <c r="AD19" s="71"/>
      <c r="AE19" s="71"/>
      <c r="AF19" s="71"/>
      <c r="AG19" s="71"/>
      <c r="AH19" s="519"/>
      <c r="AJ19" s="4"/>
      <c r="AK19" s="514" t="s">
        <v>1049</v>
      </c>
      <c r="AL19" s="514" t="s">
        <v>414</v>
      </c>
      <c r="AM19" s="17" t="s">
        <v>1047</v>
      </c>
      <c r="AN19" s="514"/>
      <c r="AO19" s="514"/>
      <c r="AP19" s="514"/>
      <c r="AQ19" s="514"/>
      <c r="AR19" s="514"/>
      <c r="AS19" s="514"/>
      <c r="AT19" s="514"/>
      <c r="AU19" s="514"/>
      <c r="AV19" s="514"/>
      <c r="AW19" s="514"/>
      <c r="AX19" s="514"/>
      <c r="AY19" s="514"/>
      <c r="AZ19" s="514"/>
      <c r="BA19" s="514"/>
      <c r="BB19" s="514"/>
      <c r="BC19" s="514"/>
      <c r="BD19" s="514"/>
      <c r="BE19" s="10"/>
    </row>
    <row r="20" spans="2:57" ht="15" thickBot="1" x14ac:dyDescent="0.35">
      <c r="B20" s="4"/>
      <c r="C20" s="60" t="str">
        <f>IF(N26=TRUE,"Максимальное количество деталей в отливке по длине:   "&amp;F17&amp;",   L=","")</f>
        <v/>
      </c>
      <c r="D20" s="43"/>
      <c r="E20" s="59"/>
      <c r="F20" s="59"/>
      <c r="G20" s="59"/>
      <c r="H20" s="59"/>
      <c r="I20" s="514" t="str">
        <f>IF(N26=TRUE,M28&amp;"  мм.","")</f>
        <v/>
      </c>
      <c r="J20" s="1094"/>
      <c r="K20" s="23"/>
      <c r="L20" s="954" t="s">
        <v>87</v>
      </c>
      <c r="M20" s="474">
        <v>390</v>
      </c>
      <c r="N20" s="43"/>
      <c r="O20" s="1022"/>
      <c r="P20" s="1029">
        <f>$P19/$U19*$U20/$P$17</f>
        <v>10.309090909090907</v>
      </c>
      <c r="Q20" s="1029">
        <f>$Q19/$U19*$U20/$Q$17</f>
        <v>10.309090909090907</v>
      </c>
      <c r="R20" s="1029">
        <f>$R$19/$U$19*$U20/$R$17</f>
        <v>14.432727272727272</v>
      </c>
      <c r="S20" s="1029">
        <f>$S$19/$U$19*$U20/$S$17</f>
        <v>13.058181818181817</v>
      </c>
      <c r="T20" s="1078">
        <f>$T$19/$U$19*$U20/$T$17</f>
        <v>13.058181818181817</v>
      </c>
      <c r="U20" s="1138">
        <v>75.599999999999994</v>
      </c>
      <c r="V20" s="1130" t="s">
        <v>1044</v>
      </c>
      <c r="X20" s="60"/>
      <c r="Z20" s="4"/>
      <c r="AA20" s="59"/>
      <c r="AB20" s="59"/>
      <c r="AC20" s="59"/>
      <c r="AD20" s="59"/>
      <c r="AE20" s="59"/>
      <c r="AF20" s="59"/>
      <c r="AG20" s="23"/>
      <c r="AH20" s="24"/>
      <c r="AJ20" s="4"/>
      <c r="AK20" s="514"/>
      <c r="AL20" s="514" t="s">
        <v>417</v>
      </c>
      <c r="AM20" s="17" t="s">
        <v>1048</v>
      </c>
      <c r="AN20" s="514"/>
      <c r="AO20" s="514"/>
      <c r="AP20" s="514"/>
      <c r="AQ20" s="514"/>
      <c r="AR20" s="514"/>
      <c r="AS20" s="514"/>
      <c r="AT20" s="514"/>
      <c r="AU20" s="514"/>
      <c r="AV20" s="514"/>
      <c r="AW20" s="514"/>
      <c r="AX20" s="514"/>
      <c r="AY20" s="514"/>
      <c r="AZ20" s="514"/>
      <c r="BA20" s="514"/>
      <c r="BB20" s="514"/>
      <c r="BC20" s="514"/>
      <c r="BD20" s="514"/>
      <c r="BE20" s="10"/>
    </row>
    <row r="21" spans="2:57" ht="15" thickBot="1" x14ac:dyDescent="0.35">
      <c r="B21" s="4"/>
      <c r="C21" s="59"/>
      <c r="D21" s="60"/>
      <c r="E21" s="59"/>
      <c r="F21" s="59"/>
      <c r="G21" s="59"/>
      <c r="H21" s="59"/>
      <c r="I21" s="59"/>
      <c r="J21" s="1094"/>
      <c r="K21" s="23"/>
      <c r="L21" s="955" t="s">
        <v>806</v>
      </c>
      <c r="M21" s="61">
        <v>6</v>
      </c>
      <c r="N21" s="43"/>
      <c r="O21" s="1022"/>
      <c r="P21" s="1029">
        <f>$P$19/$U$19*$U21/$P$17</f>
        <v>11.127272727272725</v>
      </c>
      <c r="Q21" s="1029">
        <f>$Q$19/$U$19*$U21/$Q$17</f>
        <v>11.127272727272725</v>
      </c>
      <c r="R21" s="1029">
        <f t="shared" ref="R21:R22" si="2">$R$19/$U$19*$U21/$R$17</f>
        <v>15.578181818181818</v>
      </c>
      <c r="S21" s="1029">
        <f t="shared" ref="S21:S22" si="3">$S$19/$U$19*$U21/$S$17</f>
        <v>14.094545454545454</v>
      </c>
      <c r="T21" s="1078">
        <f t="shared" ref="T21:T22" si="4">$T$19/$U$19*$U21/$T$17</f>
        <v>14.094545454545454</v>
      </c>
      <c r="U21" s="1138">
        <v>81.599999999999994</v>
      </c>
      <c r="V21" s="619" t="s">
        <v>1043</v>
      </c>
      <c r="X21" s="60"/>
      <c r="Z21" s="4"/>
      <c r="AA21" s="59"/>
      <c r="AB21" s="59"/>
      <c r="AC21" s="59"/>
      <c r="AD21" s="59"/>
      <c r="AE21" s="59"/>
      <c r="AF21" s="59"/>
      <c r="AG21" s="23"/>
      <c r="AH21" s="24"/>
      <c r="AJ21" s="4"/>
      <c r="AK21" s="17" t="s">
        <v>1050</v>
      </c>
      <c r="AL21" s="514"/>
      <c r="AM21" s="514"/>
      <c r="AN21" s="514"/>
      <c r="AO21" s="514"/>
      <c r="AP21" s="514"/>
      <c r="AQ21" s="514"/>
      <c r="AR21" s="514"/>
      <c r="AS21" s="514"/>
      <c r="AT21" s="514"/>
      <c r="AU21" s="514"/>
      <c r="AV21" s="514"/>
      <c r="AW21" s="514"/>
      <c r="AX21" s="514"/>
      <c r="AY21" s="514"/>
      <c r="AZ21" s="514"/>
      <c r="BA21" s="514"/>
      <c r="BB21" s="514"/>
      <c r="BC21" s="514"/>
      <c r="BD21" s="514"/>
      <c r="BE21" s="10"/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3"/>
      <c r="J22" s="24"/>
      <c r="K22" s="23"/>
      <c r="L22" s="956" t="s">
        <v>807</v>
      </c>
      <c r="M22" s="766">
        <v>20</v>
      </c>
      <c r="N22" s="43"/>
      <c r="O22" s="1023"/>
      <c r="P22" s="1030">
        <f>$P$19/$U$19*$U22/$P$17</f>
        <v>11.577272727272728</v>
      </c>
      <c r="Q22" s="1030">
        <f>$Q$19/$U$19*$U22/$Q$17</f>
        <v>11.577272727272728</v>
      </c>
      <c r="R22" s="1030">
        <f t="shared" si="2"/>
        <v>16.208181818181821</v>
      </c>
      <c r="S22" s="1030">
        <f t="shared" si="3"/>
        <v>14.664545454545456</v>
      </c>
      <c r="T22" s="1079">
        <f t="shared" si="4"/>
        <v>14.664545454545456</v>
      </c>
      <c r="U22" s="1028">
        <v>84.9</v>
      </c>
      <c r="V22" s="1139" t="s">
        <v>1016</v>
      </c>
      <c r="X22" s="60"/>
      <c r="Z22" s="4"/>
      <c r="AA22" s="59"/>
      <c r="AB22" s="59"/>
      <c r="AC22" s="59"/>
      <c r="AD22" s="59"/>
      <c r="AE22" s="59"/>
      <c r="AF22" s="59"/>
      <c r="AG22" s="28">
        <v>237</v>
      </c>
      <c r="AH22" s="27"/>
      <c r="AJ22" s="4"/>
      <c r="AK22" s="17" t="s">
        <v>1046</v>
      </c>
      <c r="AL22" s="514"/>
      <c r="AM22" s="514"/>
      <c r="AN22" s="514"/>
      <c r="AO22" s="514"/>
      <c r="AP22" s="514"/>
      <c r="AQ22" s="514"/>
      <c r="AR22" s="514"/>
      <c r="AS22" s="514"/>
      <c r="AT22" s="514"/>
      <c r="AU22" s="514"/>
      <c r="AV22" s="514"/>
      <c r="AW22" s="514"/>
      <c r="AX22" s="514"/>
      <c r="AY22" s="514"/>
      <c r="AZ22" s="514"/>
      <c r="BA22" s="514"/>
      <c r="BB22" s="514"/>
      <c r="BC22" s="514"/>
      <c r="BD22" s="514"/>
      <c r="BE22" s="10"/>
    </row>
    <row r="23" spans="2:57" ht="15" thickBot="1" x14ac:dyDescent="0.35">
      <c r="B23" s="4"/>
      <c r="C23" s="59"/>
      <c r="D23" s="59"/>
      <c r="E23" s="59"/>
      <c r="F23" s="59"/>
      <c r="G23" s="59"/>
      <c r="H23" s="59"/>
      <c r="I23" s="23"/>
      <c r="J23" s="24"/>
      <c r="K23" s="23"/>
      <c r="L23" s="1040" t="s">
        <v>808</v>
      </c>
      <c r="M23" s="103">
        <v>0.26</v>
      </c>
      <c r="N23" s="43"/>
      <c r="T23"/>
      <c r="Z23" s="4"/>
      <c r="AA23" s="59"/>
      <c r="AB23" s="59"/>
      <c r="AC23" s="59"/>
      <c r="AD23" s="59"/>
      <c r="AE23" s="59"/>
      <c r="AF23" s="59"/>
      <c r="AG23" s="29" t="s">
        <v>1085</v>
      </c>
      <c r="AH23" s="424"/>
      <c r="AJ23" s="19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40"/>
    </row>
    <row r="24" spans="2:57" ht="15" thickBot="1" x14ac:dyDescent="0.35">
      <c r="B24" s="4"/>
      <c r="C24" s="59"/>
      <c r="D24" s="59"/>
      <c r="E24" s="59"/>
      <c r="F24" s="59"/>
      <c r="G24" s="59"/>
      <c r="H24" s="59"/>
      <c r="I24" s="28">
        <f>L5*0.985</f>
        <v>531.9</v>
      </c>
      <c r="J24" s="27"/>
      <c r="K24" s="182"/>
      <c r="L24" s="1041"/>
      <c r="M24" s="961">
        <f>M20*M21*M22*M16/1000000</f>
        <v>0.35099999999999998</v>
      </c>
      <c r="N24" s="43"/>
      <c r="R24" s="1073"/>
      <c r="S24" s="1073"/>
      <c r="T24" s="1073"/>
      <c r="Z24" s="4"/>
      <c r="AA24" s="59"/>
      <c r="AB24" s="59"/>
      <c r="AC24" s="59"/>
      <c r="AD24" s="59"/>
      <c r="AE24" s="59"/>
      <c r="AF24" s="59"/>
      <c r="AG24" s="29"/>
      <c r="AH24" s="27"/>
    </row>
    <row r="25" spans="2:57" ht="16.2" thickBot="1" x14ac:dyDescent="0.35">
      <c r="B25" s="4"/>
      <c r="C25" s="59"/>
      <c r="D25" s="59"/>
      <c r="E25" s="59"/>
      <c r="F25" s="59"/>
      <c r="G25" s="59"/>
      <c r="H25" s="59"/>
      <c r="I25" s="473" t="str">
        <f>"( "&amp;M20&amp;" )"</f>
        <v>( 390 )</v>
      </c>
      <c r="J25" s="424"/>
      <c r="K25" s="182"/>
      <c r="L25" s="43"/>
      <c r="M25" s="43"/>
      <c r="N25" s="43"/>
      <c r="P25" s="1656" t="s">
        <v>329</v>
      </c>
      <c r="Q25" s="1657"/>
      <c r="R25" s="1658"/>
      <c r="S25" s="1663">
        <f>R26*R27+R28*R27</f>
        <v>500</v>
      </c>
      <c r="T25" s="1073"/>
      <c r="Z25" s="4"/>
      <c r="AA25" s="59"/>
      <c r="AB25" s="59"/>
      <c r="AC25" s="59"/>
      <c r="AD25" s="59"/>
      <c r="AE25" s="59"/>
      <c r="AF25" s="59"/>
      <c r="AG25" s="29"/>
      <c r="AH25" s="27"/>
    </row>
    <row r="26" spans="2:57" ht="15.6" x14ac:dyDescent="0.3">
      <c r="B26" s="4"/>
      <c r="C26" s="59"/>
      <c r="D26" s="59"/>
      <c r="E26" s="59"/>
      <c r="F26" s="59"/>
      <c r="G26" s="59"/>
      <c r="H26" s="59"/>
      <c r="I26" s="29"/>
      <c r="J26" s="27"/>
      <c r="K26" s="182"/>
      <c r="L26" s="971" t="s">
        <v>1059</v>
      </c>
      <c r="M26" s="973"/>
      <c r="N26" s="972" t="b">
        <v>0</v>
      </c>
      <c r="P26" s="1659" t="s">
        <v>88</v>
      </c>
      <c r="Q26" s="1660"/>
      <c r="R26" s="1152">
        <v>10</v>
      </c>
      <c r="S26" s="1664"/>
      <c r="T26" s="1073"/>
      <c r="Y26" s="43"/>
      <c r="Z26" s="4"/>
      <c r="AA26" s="59"/>
      <c r="AB26" s="59"/>
      <c r="AC26" s="59"/>
      <c r="AD26" s="59"/>
      <c r="AE26" s="59"/>
      <c r="AF26" s="59"/>
      <c r="AG26" s="29"/>
      <c r="AH26" s="27"/>
      <c r="AJ26" s="12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13"/>
    </row>
    <row r="27" spans="2:57" ht="16.2" thickBot="1" x14ac:dyDescent="0.35">
      <c r="B27" s="4"/>
      <c r="C27" s="59"/>
      <c r="D27" s="59"/>
      <c r="E27" s="59"/>
      <c r="F27" s="59"/>
      <c r="G27" s="59"/>
      <c r="H27" s="59"/>
      <c r="I27" s="29"/>
      <c r="J27" s="27"/>
      <c r="K27" s="182"/>
      <c r="L27" s="598" t="s">
        <v>1057</v>
      </c>
      <c r="M27" s="766">
        <v>735</v>
      </c>
      <c r="N27" s="10"/>
      <c r="P27" s="1661" t="s">
        <v>1098</v>
      </c>
      <c r="Q27" s="1662"/>
      <c r="R27" s="1153">
        <v>20</v>
      </c>
      <c r="S27" s="1664"/>
      <c r="Y27" s="43"/>
      <c r="Z27" s="4"/>
      <c r="AA27" s="59"/>
      <c r="AB27" s="59"/>
      <c r="AC27" s="32"/>
      <c r="AD27" s="59"/>
      <c r="AE27" s="59"/>
      <c r="AF27" s="59"/>
      <c r="AG27" s="29"/>
      <c r="AH27" s="27"/>
      <c r="AJ27" s="1048"/>
      <c r="AK27" s="333"/>
      <c r="AL27" s="456"/>
      <c r="AM27" s="181"/>
      <c r="AN27" s="181"/>
      <c r="AO27" s="181"/>
      <c r="AP27" s="181"/>
      <c r="AQ27" s="514"/>
      <c r="AR27" s="514"/>
      <c r="AS27" s="514">
        <f>SUM(AL29:BD29)</f>
        <v>560</v>
      </c>
      <c r="AT27" s="514"/>
      <c r="AU27" s="514"/>
      <c r="AV27" s="514"/>
      <c r="AW27" s="514"/>
      <c r="AX27" s="514"/>
      <c r="AY27" s="514"/>
      <c r="AZ27" s="514"/>
      <c r="BA27" s="514"/>
      <c r="BB27" s="514"/>
      <c r="BC27" s="59"/>
      <c r="BD27" s="59"/>
      <c r="BE27" s="10"/>
    </row>
    <row r="28" spans="2:57" ht="16.2" thickBot="1" x14ac:dyDescent="0.35">
      <c r="B28" s="4"/>
      <c r="C28" s="59"/>
      <c r="D28" s="59"/>
      <c r="E28" s="59"/>
      <c r="F28" s="59"/>
      <c r="G28" s="59"/>
      <c r="H28" s="59"/>
      <c r="I28" s="29"/>
      <c r="J28" s="27"/>
      <c r="K28" s="182"/>
      <c r="L28" s="1091" t="s">
        <v>1058</v>
      </c>
      <c r="M28" s="1092">
        <v>520</v>
      </c>
      <c r="N28" s="1093"/>
      <c r="P28" s="1659" t="s">
        <v>1007</v>
      </c>
      <c r="Q28" s="1660"/>
      <c r="R28" s="1154">
        <v>15</v>
      </c>
      <c r="S28" s="1665"/>
      <c r="Y28" s="43"/>
      <c r="Z28" s="4"/>
      <c r="AA28" s="59"/>
      <c r="AB28" s="31">
        <v>20</v>
      </c>
      <c r="AC28" s="59"/>
      <c r="AD28" s="59"/>
      <c r="AE28" s="59"/>
      <c r="AF28" s="59"/>
      <c r="AG28" s="29"/>
      <c r="AH28" s="27"/>
      <c r="AJ28" s="1048"/>
      <c r="AK28" s="456"/>
      <c r="AL28" s="456"/>
      <c r="AM28" s="181"/>
      <c r="AN28" s="181"/>
      <c r="AO28" s="181"/>
      <c r="AP28" s="181"/>
      <c r="AQ28" s="514"/>
      <c r="AR28" s="514"/>
      <c r="AS28" s="514"/>
      <c r="AT28" s="514"/>
      <c r="AU28" s="514"/>
      <c r="AV28" s="514"/>
      <c r="AW28" s="514"/>
      <c r="AX28" s="514"/>
      <c r="AY28" s="514"/>
      <c r="AZ28" s="514"/>
      <c r="BA28" s="514"/>
      <c r="BB28" s="514"/>
      <c r="BC28" s="59"/>
      <c r="BD28" s="59"/>
      <c r="BE28" s="10"/>
    </row>
    <row r="29" spans="2:57" ht="15" thickBot="1" x14ac:dyDescent="0.35">
      <c r="B29" s="4"/>
      <c r="C29" s="59"/>
      <c r="D29" s="59"/>
      <c r="E29" s="32"/>
      <c r="F29" s="59"/>
      <c r="G29" s="59"/>
      <c r="H29" s="59"/>
      <c r="I29" s="29"/>
      <c r="J29" s="27"/>
      <c r="K29" s="182"/>
      <c r="L29" s="43"/>
      <c r="M29" s="43"/>
      <c r="N29" s="43"/>
      <c r="O29" s="59"/>
      <c r="Y29" s="43"/>
      <c r="Z29" s="4"/>
      <c r="AA29" s="59"/>
      <c r="AB29" s="59"/>
      <c r="AC29" s="59"/>
      <c r="AD29" s="59"/>
      <c r="AE29" s="59"/>
      <c r="AF29" s="59"/>
      <c r="AG29" s="29"/>
      <c r="AH29" s="27"/>
      <c r="AJ29" s="4"/>
      <c r="AK29" s="59"/>
      <c r="AL29" s="514">
        <v>10</v>
      </c>
      <c r="AM29" s="1647">
        <v>550</v>
      </c>
      <c r="AN29" s="1647"/>
      <c r="AO29" s="514"/>
      <c r="AP29" s="59"/>
      <c r="AQ29" s="514"/>
      <c r="AR29" s="514"/>
      <c r="AS29" s="514"/>
      <c r="AT29" s="514"/>
      <c r="AU29" s="514"/>
      <c r="AV29" s="514"/>
      <c r="AW29" s="514"/>
      <c r="AX29" s="514"/>
      <c r="AY29" s="514"/>
      <c r="AZ29" s="514"/>
      <c r="BA29" s="514"/>
      <c r="BB29" s="59"/>
      <c r="BC29" s="59"/>
      <c r="BD29" s="59"/>
      <c r="BE29" s="10"/>
    </row>
    <row r="30" spans="2:57" x14ac:dyDescent="0.3">
      <c r="B30" s="4"/>
      <c r="C30" s="59"/>
      <c r="D30" s="31">
        <v>15</v>
      </c>
      <c r="E30" s="59"/>
      <c r="F30" s="59"/>
      <c r="G30" s="59"/>
      <c r="H30" s="59"/>
      <c r="I30" s="29"/>
      <c r="J30" s="27"/>
      <c r="K30" s="182"/>
      <c r="L30" s="60"/>
      <c r="M30" s="43"/>
      <c r="Y30" s="43"/>
      <c r="Z30" s="1074">
        <v>79</v>
      </c>
      <c r="AA30" s="59"/>
      <c r="AB30" s="59"/>
      <c r="AC30" s="34">
        <v>1034</v>
      </c>
      <c r="AD30" s="31"/>
      <c r="AE30" s="59"/>
      <c r="AF30" s="59"/>
      <c r="AG30" s="29"/>
      <c r="AH30" s="27"/>
      <c r="AJ30" s="4"/>
      <c r="AK30" s="59"/>
      <c r="AL30" s="1042"/>
      <c r="AM30" s="1038"/>
      <c r="AN30" s="1038"/>
      <c r="AO30" s="1043"/>
      <c r="AP30" s="1043"/>
      <c r="AQ30" s="1043"/>
      <c r="AR30" s="1043"/>
      <c r="AS30" s="1043"/>
      <c r="AT30" s="1043"/>
      <c r="AU30" s="1043"/>
      <c r="AV30" s="1043"/>
      <c r="AW30" s="1043"/>
      <c r="AX30" s="1043"/>
      <c r="AY30" s="1043"/>
      <c r="AZ30" s="1043"/>
      <c r="BA30" s="1043"/>
      <c r="BB30" s="1044"/>
      <c r="BC30" s="59"/>
      <c r="BD30" s="59"/>
      <c r="BE30" s="10"/>
    </row>
    <row r="31" spans="2:57" x14ac:dyDescent="0.3">
      <c r="B31" s="4"/>
      <c r="C31" s="59"/>
      <c r="D31" s="59"/>
      <c r="E31" s="59"/>
      <c r="F31" s="59"/>
      <c r="G31" s="59"/>
      <c r="H31" s="59"/>
      <c r="I31" s="29"/>
      <c r="J31" s="27"/>
      <c r="K31" s="182"/>
      <c r="L31" s="182"/>
      <c r="M31" s="59"/>
      <c r="Y31" s="43"/>
      <c r="Z31" s="4"/>
      <c r="AA31" s="59"/>
      <c r="AB31" s="59"/>
      <c r="AC31" s="29" t="s">
        <v>1086</v>
      </c>
      <c r="AD31" s="182"/>
      <c r="AE31" s="35"/>
      <c r="AF31" s="59"/>
      <c r="AG31" s="29"/>
      <c r="AH31" s="27"/>
      <c r="AJ31" s="4"/>
      <c r="AK31" s="59"/>
      <c r="AL31" s="1062"/>
      <c r="AM31" s="1641"/>
      <c r="AN31" s="1642"/>
      <c r="AO31" s="1061"/>
      <c r="AP31" s="181"/>
      <c r="AQ31" s="181"/>
      <c r="AR31" s="181"/>
      <c r="AS31" s="181"/>
      <c r="AT31" s="181"/>
      <c r="AU31" s="181"/>
      <c r="AV31" s="181"/>
      <c r="AW31" s="514"/>
      <c r="AX31" s="514"/>
      <c r="AY31" s="514"/>
      <c r="AZ31" s="514"/>
      <c r="BA31" s="514"/>
      <c r="BB31" s="18"/>
      <c r="BC31" s="59"/>
      <c r="BD31" s="59"/>
      <c r="BE31" s="10"/>
    </row>
    <row r="32" spans="2:57" x14ac:dyDescent="0.3">
      <c r="B32" s="4"/>
      <c r="C32" s="33">
        <f>IF(N26=TRUE,0,L11*0.985)</f>
        <v>118.2</v>
      </c>
      <c r="D32" s="59"/>
      <c r="E32" s="34">
        <f>IF(N26=FALSE,L4*0.985,M27*0.985)</f>
        <v>561.45000000000005</v>
      </c>
      <c r="F32" s="31"/>
      <c r="G32" s="59"/>
      <c r="H32" s="59"/>
      <c r="I32" s="29"/>
      <c r="J32" s="27"/>
      <c r="K32" s="182"/>
      <c r="L32" s="43"/>
      <c r="M32" s="43"/>
      <c r="Y32" s="43"/>
      <c r="Z32" s="4"/>
      <c r="AA32" s="59"/>
      <c r="AB32" s="59"/>
      <c r="AC32" s="59"/>
      <c r="AD32" s="31"/>
      <c r="AE32" s="59"/>
      <c r="AF32" s="59"/>
      <c r="AG32" s="29"/>
      <c r="AH32" s="27"/>
      <c r="AJ32" s="4"/>
      <c r="AK32" s="59">
        <v>10</v>
      </c>
      <c r="AL32" s="1063"/>
      <c r="AM32" s="1064"/>
      <c r="AN32" s="1065"/>
      <c r="AO32" s="1066"/>
      <c r="AP32" s="514"/>
      <c r="AQ32" s="1066"/>
      <c r="AR32" s="514"/>
      <c r="AS32" s="1066"/>
      <c r="AT32" s="514"/>
      <c r="AU32" s="1066"/>
      <c r="AV32" s="514"/>
      <c r="AW32" s="1066"/>
      <c r="AX32" s="514"/>
      <c r="AY32" s="1066"/>
      <c r="AZ32" s="514"/>
      <c r="BA32" s="1066"/>
      <c r="BB32" s="18"/>
      <c r="BC32" s="59">
        <v>20</v>
      </c>
      <c r="BD32" s="59"/>
      <c r="BE32" s="10"/>
    </row>
    <row r="33" spans="2:57" x14ac:dyDescent="0.3">
      <c r="B33" s="4"/>
      <c r="C33" s="59"/>
      <c r="D33" s="59"/>
      <c r="E33" s="473" t="str">
        <f>"( "&amp;M21&amp;" )"</f>
        <v>( 6 )</v>
      </c>
      <c r="F33" s="31"/>
      <c r="G33" s="35"/>
      <c r="H33" s="59"/>
      <c r="I33" s="29"/>
      <c r="J33" s="27"/>
      <c r="K33" s="182"/>
      <c r="L33" s="43"/>
      <c r="M33" s="43"/>
      <c r="Y33" s="43"/>
      <c r="Z33" s="4"/>
      <c r="AA33" s="59"/>
      <c r="AB33" s="59"/>
      <c r="AC33" s="59"/>
      <c r="AD33" s="59"/>
      <c r="AE33" s="59"/>
      <c r="AF33" s="59"/>
      <c r="AG33" s="29"/>
      <c r="AH33" s="27"/>
      <c r="AJ33" s="4">
        <f>SUM(AK30:AK36)</f>
        <v>210</v>
      </c>
      <c r="AK33" s="59">
        <v>85</v>
      </c>
      <c r="AL33" s="1062"/>
      <c r="AM33" s="1067">
        <v>1</v>
      </c>
      <c r="AN33" s="1051"/>
      <c r="AO33" s="1067">
        <v>1</v>
      </c>
      <c r="AP33" s="1051"/>
      <c r="AQ33" s="1068">
        <v>2</v>
      </c>
      <c r="AR33" s="1051"/>
      <c r="AS33" s="1068">
        <v>2</v>
      </c>
      <c r="AT33" s="1051"/>
      <c r="AU33" s="1068">
        <v>2</v>
      </c>
      <c r="AV33" s="1052"/>
      <c r="AW33" s="1068">
        <v>2</v>
      </c>
      <c r="AX33" s="1051"/>
      <c r="AY33" s="1060">
        <v>3</v>
      </c>
      <c r="AZ33" s="1051"/>
      <c r="BA33" s="1060">
        <v>3</v>
      </c>
      <c r="BB33" s="18"/>
      <c r="BC33" s="59">
        <v>103</v>
      </c>
      <c r="BD33" s="59">
        <f>SUM(BC30:BC36)</f>
        <v>256</v>
      </c>
      <c r="BE33" s="10"/>
    </row>
    <row r="34" spans="2:57" x14ac:dyDescent="0.3">
      <c r="B34" s="4"/>
      <c r="C34" s="59"/>
      <c r="D34" s="59"/>
      <c r="E34" s="59"/>
      <c r="F34" s="31"/>
      <c r="G34" s="59"/>
      <c r="H34" s="59"/>
      <c r="I34" s="29"/>
      <c r="J34" s="27"/>
      <c r="K34" s="182"/>
      <c r="L34" s="43"/>
      <c r="M34" s="43"/>
      <c r="Y34" s="43"/>
      <c r="Z34" s="4"/>
      <c r="AA34" s="59"/>
      <c r="AB34" s="59"/>
      <c r="AC34" s="59"/>
      <c r="AD34" s="59"/>
      <c r="AE34" s="59"/>
      <c r="AF34" s="59"/>
      <c r="AG34" s="28">
        <v>37</v>
      </c>
      <c r="AH34" s="27"/>
      <c r="AJ34" s="4"/>
      <c r="AK34" s="59">
        <v>20</v>
      </c>
      <c r="AL34" s="1063"/>
      <c r="AM34" s="1064"/>
      <c r="AN34" s="514"/>
      <c r="AO34" s="1064"/>
      <c r="AP34" s="514"/>
      <c r="AQ34" s="1064"/>
      <c r="AR34" s="514"/>
      <c r="AS34" s="1064"/>
      <c r="AT34" s="514"/>
      <c r="AU34" s="1064"/>
      <c r="AV34" s="514"/>
      <c r="AW34" s="1064"/>
      <c r="AX34" s="514"/>
      <c r="AY34" s="1064"/>
      <c r="AZ34" s="514"/>
      <c r="BA34" s="1064"/>
      <c r="BB34" s="18"/>
      <c r="BC34" s="59">
        <v>20</v>
      </c>
      <c r="BD34" s="59"/>
      <c r="BE34" s="10"/>
    </row>
    <row r="35" spans="2:57" x14ac:dyDescent="0.3">
      <c r="B35" s="4"/>
      <c r="C35" s="59"/>
      <c r="D35" s="59"/>
      <c r="E35" s="59"/>
      <c r="F35" s="59"/>
      <c r="G35" s="59"/>
      <c r="H35" s="59"/>
      <c r="I35" s="29"/>
      <c r="J35" s="27"/>
      <c r="K35" s="182"/>
      <c r="L35" s="43"/>
      <c r="M35" s="43"/>
      <c r="P35" s="59"/>
      <c r="Y35" s="43"/>
      <c r="Z35" s="4"/>
      <c r="AA35" s="59"/>
      <c r="AB35" s="59"/>
      <c r="AC35" s="59"/>
      <c r="AD35" s="59"/>
      <c r="AE35" s="59"/>
      <c r="AF35" s="59"/>
      <c r="AG35" s="29" t="s">
        <v>1090</v>
      </c>
      <c r="AH35" s="27"/>
      <c r="AJ35" s="4"/>
      <c r="AK35" s="59">
        <v>85</v>
      </c>
      <c r="AL35" s="1062"/>
      <c r="AM35" s="1067">
        <v>1</v>
      </c>
      <c r="AN35" s="1051"/>
      <c r="AO35" s="1067">
        <v>1</v>
      </c>
      <c r="AP35" s="1051"/>
      <c r="AQ35" s="1068">
        <v>2</v>
      </c>
      <c r="AR35" s="1051"/>
      <c r="AS35" s="1068">
        <v>2</v>
      </c>
      <c r="AT35" s="1051"/>
      <c r="AU35" s="1068">
        <v>2</v>
      </c>
      <c r="AV35" s="1051"/>
      <c r="AW35" s="1068">
        <v>2</v>
      </c>
      <c r="AX35" s="1051"/>
      <c r="AY35" s="1060">
        <v>3</v>
      </c>
      <c r="AZ35" s="1051"/>
      <c r="BA35" s="1060">
        <v>3</v>
      </c>
      <c r="BB35" s="18"/>
      <c r="BC35" s="59">
        <v>103</v>
      </c>
      <c r="BD35" s="59"/>
      <c r="BE35" s="10"/>
    </row>
    <row r="36" spans="2:57" ht="15" thickBot="1" x14ac:dyDescent="0.35">
      <c r="B36" s="4"/>
      <c r="C36" s="59"/>
      <c r="D36" s="59"/>
      <c r="E36" s="59"/>
      <c r="F36" s="59"/>
      <c r="G36" s="59"/>
      <c r="H36" s="59"/>
      <c r="I36" s="28">
        <f>L6*0.985</f>
        <v>39.4</v>
      </c>
      <c r="J36" s="27"/>
      <c r="K36" s="182"/>
      <c r="L36" s="43"/>
      <c r="M36" s="43"/>
      <c r="Y36" s="43"/>
      <c r="Z36" s="4"/>
      <c r="AA36" s="59"/>
      <c r="AB36" s="59"/>
      <c r="AC36" s="59"/>
      <c r="AD36" s="59"/>
      <c r="AE36" s="59"/>
      <c r="AF36" s="59"/>
      <c r="AG36" s="1075"/>
      <c r="AH36" s="24"/>
      <c r="AJ36" s="4"/>
      <c r="AK36" s="59">
        <v>10</v>
      </c>
      <c r="AL36" s="1069"/>
      <c r="AM36" s="1070"/>
      <c r="AN36" s="423"/>
      <c r="AO36" s="1071"/>
      <c r="AP36" s="423"/>
      <c r="AQ36" s="1071"/>
      <c r="AR36" s="423"/>
      <c r="AS36" s="1071"/>
      <c r="AT36" s="423"/>
      <c r="AU36" s="1071"/>
      <c r="AV36" s="423"/>
      <c r="AW36" s="1071"/>
      <c r="AX36" s="423"/>
      <c r="AY36" s="1071"/>
      <c r="AZ36" s="423"/>
      <c r="BA36" s="1071"/>
      <c r="BB36" s="22"/>
      <c r="BC36" s="59">
        <v>10</v>
      </c>
      <c r="BD36" s="59"/>
      <c r="BE36" s="10"/>
    </row>
    <row r="37" spans="2:57" x14ac:dyDescent="0.3">
      <c r="B37" s="4"/>
      <c r="C37" s="59"/>
      <c r="D37" s="59"/>
      <c r="E37" s="59"/>
      <c r="F37" s="59"/>
      <c r="G37" s="59"/>
      <c r="H37" s="59"/>
      <c r="I37" s="473" t="str">
        <f>"( "&amp;M22&amp;" )"</f>
        <v>( 20 )</v>
      </c>
      <c r="J37" s="27"/>
      <c r="K37" s="182"/>
      <c r="L37" s="43"/>
      <c r="M37" s="43"/>
      <c r="Y37" s="43"/>
      <c r="Z37" s="4"/>
      <c r="AA37" s="59"/>
      <c r="AB37" s="59"/>
      <c r="AC37" s="59"/>
      <c r="AD37" s="59"/>
      <c r="AE37" s="59"/>
      <c r="AF37" s="59"/>
      <c r="AG37" s="23"/>
      <c r="AH37" s="24"/>
      <c r="AJ37" s="4"/>
      <c r="AK37" s="59"/>
      <c r="AL37" s="514">
        <v>10</v>
      </c>
      <c r="AM37" s="514">
        <v>300</v>
      </c>
      <c r="AN37" s="514">
        <v>20</v>
      </c>
      <c r="AO37" s="514">
        <v>300</v>
      </c>
      <c r="AP37" s="514">
        <v>20</v>
      </c>
      <c r="AQ37" s="514">
        <v>190</v>
      </c>
      <c r="AR37" s="514">
        <v>20</v>
      </c>
      <c r="AS37" s="514">
        <v>130</v>
      </c>
      <c r="AT37" s="514">
        <v>20</v>
      </c>
      <c r="AU37" s="514"/>
      <c r="AV37" s="514"/>
      <c r="AW37" s="514"/>
      <c r="AX37" s="514"/>
      <c r="AY37" s="514"/>
      <c r="AZ37" s="514"/>
      <c r="BA37" s="514"/>
      <c r="BB37" s="514"/>
      <c r="BC37" s="59"/>
      <c r="BD37" s="59"/>
      <c r="BE37" s="10"/>
    </row>
    <row r="38" spans="2:57" x14ac:dyDescent="0.3">
      <c r="B38" s="4"/>
      <c r="C38" s="59"/>
      <c r="D38" s="59"/>
      <c r="E38" s="59"/>
      <c r="F38" s="59"/>
      <c r="G38" s="59"/>
      <c r="H38" s="59"/>
      <c r="I38" s="23"/>
      <c r="J38" s="24"/>
      <c r="K38" s="23"/>
      <c r="L38" s="43"/>
      <c r="M38" s="43"/>
      <c r="Y38" s="43"/>
      <c r="Z38" s="4"/>
      <c r="AA38" s="59"/>
      <c r="AB38" s="59"/>
      <c r="AC38" s="59"/>
      <c r="AD38" s="59"/>
      <c r="AE38" s="59"/>
      <c r="AF38" s="59"/>
      <c r="AG38" s="23"/>
      <c r="AH38" s="24"/>
      <c r="AJ38" s="4"/>
      <c r="AK38" s="59"/>
      <c r="AL38" s="514"/>
      <c r="AM38" s="514"/>
      <c r="AN38" s="514"/>
      <c r="AO38" s="514"/>
      <c r="AP38" s="514"/>
      <c r="AQ38" s="514"/>
      <c r="AR38" s="514"/>
      <c r="AS38" s="514"/>
      <c r="AT38" s="514"/>
      <c r="AU38" s="514"/>
      <c r="AV38" s="514"/>
      <c r="AW38" s="514"/>
      <c r="AX38" s="514"/>
      <c r="AY38" s="514"/>
      <c r="AZ38" s="514"/>
      <c r="BA38" s="514"/>
      <c r="BB38" s="514"/>
      <c r="BC38" s="59"/>
      <c r="BD38" s="59"/>
      <c r="BE38" s="10"/>
    </row>
    <row r="39" spans="2:57" ht="15" thickBot="1" x14ac:dyDescent="0.35">
      <c r="B39" s="4"/>
      <c r="C39" s="59"/>
      <c r="D39" s="59"/>
      <c r="E39" s="59"/>
      <c r="F39" s="59"/>
      <c r="G39" s="59"/>
      <c r="H39" s="59"/>
      <c r="I39" s="23"/>
      <c r="J39" s="24"/>
      <c r="K39" s="23"/>
      <c r="L39" s="43"/>
      <c r="M39" s="43"/>
      <c r="Z39" s="19"/>
      <c r="AA39" s="65"/>
      <c r="AB39" s="65"/>
      <c r="AC39" s="123"/>
      <c r="AD39" s="65"/>
      <c r="AE39" s="65"/>
      <c r="AF39" s="65"/>
      <c r="AG39" s="65"/>
      <c r="AH39" s="40"/>
      <c r="AJ39" s="4"/>
      <c r="AK39" s="59"/>
      <c r="AL39" s="514"/>
      <c r="AM39" s="514"/>
      <c r="AN39" s="514"/>
      <c r="AO39" s="514"/>
      <c r="AP39" s="514"/>
      <c r="AQ39" s="514"/>
      <c r="AR39" s="514"/>
      <c r="AS39" s="514">
        <f>SUM(AL37:BD37)</f>
        <v>1010</v>
      </c>
      <c r="AT39" s="514"/>
      <c r="AU39" s="514"/>
      <c r="AV39" s="514"/>
      <c r="AW39" s="514"/>
      <c r="AX39" s="514"/>
      <c r="AY39" s="514"/>
      <c r="AZ39" s="514"/>
      <c r="BA39" s="514"/>
      <c r="BB39" s="514"/>
      <c r="BC39" s="59"/>
      <c r="BD39" s="59"/>
      <c r="BE39" s="10"/>
    </row>
    <row r="40" spans="2:57" x14ac:dyDescent="0.3">
      <c r="B40" s="4"/>
      <c r="C40" s="59"/>
      <c r="D40" s="59"/>
      <c r="E40" s="59"/>
      <c r="F40" s="59"/>
      <c r="G40" s="59"/>
      <c r="H40" s="59"/>
      <c r="I40" s="23"/>
      <c r="J40" s="24"/>
      <c r="K40" s="23"/>
      <c r="L40" s="43"/>
      <c r="M40" s="43"/>
      <c r="Z40" s="4"/>
      <c r="AA40" s="425" t="s">
        <v>59</v>
      </c>
      <c r="AB40" s="425"/>
      <c r="AC40" s="425"/>
      <c r="AD40" s="426" t="s">
        <v>90</v>
      </c>
      <c r="AE40" s="425"/>
      <c r="AF40" s="425"/>
      <c r="AG40" s="425"/>
      <c r="AH40" s="10"/>
      <c r="AJ40" s="4"/>
      <c r="AK40" s="59"/>
      <c r="AL40" s="514"/>
      <c r="AM40" s="514"/>
      <c r="AN40" s="514"/>
      <c r="AO40" s="514"/>
      <c r="AP40" s="514"/>
      <c r="AQ40" s="514"/>
      <c r="AR40" s="514"/>
      <c r="AS40" s="514"/>
      <c r="AT40" s="514"/>
      <c r="AU40" s="514"/>
      <c r="AV40" s="514"/>
      <c r="AW40" s="514"/>
      <c r="AX40" s="514"/>
      <c r="AY40" s="514"/>
      <c r="AZ40" s="514"/>
      <c r="BA40" s="514"/>
      <c r="BB40" s="514"/>
      <c r="BC40" s="59"/>
      <c r="BD40" s="59"/>
      <c r="BE40" s="10"/>
    </row>
    <row r="41" spans="2:57" ht="15" thickBot="1" x14ac:dyDescent="0.35">
      <c r="B41" s="19"/>
      <c r="C41" s="65"/>
      <c r="D41" s="65"/>
      <c r="E41" s="123"/>
      <c r="F41" s="65"/>
      <c r="G41" s="65"/>
      <c r="H41" s="65"/>
      <c r="I41" s="65"/>
      <c r="J41" s="40"/>
      <c r="K41" s="59"/>
      <c r="L41" s="43"/>
      <c r="M41" s="43"/>
      <c r="Z41" s="4"/>
      <c r="AA41" s="425" t="s">
        <v>54</v>
      </c>
      <c r="AB41" s="425"/>
      <c r="AC41" s="425"/>
      <c r="AD41" s="421" t="s">
        <v>55</v>
      </c>
      <c r="AE41" s="425"/>
      <c r="AF41" s="425"/>
      <c r="AG41" s="425"/>
      <c r="AH41" s="10"/>
      <c r="AJ41" s="4"/>
      <c r="AK41" s="59"/>
      <c r="AL41" s="514"/>
      <c r="AM41" s="514"/>
      <c r="AN41" s="514"/>
      <c r="AO41" s="514"/>
      <c r="AP41" s="514"/>
      <c r="AQ41" s="514"/>
      <c r="AR41" s="514"/>
      <c r="AS41" s="514"/>
      <c r="AT41" s="514"/>
      <c r="AU41" s="514"/>
      <c r="AV41" s="514"/>
      <c r="AW41" s="514"/>
      <c r="AX41" s="514"/>
      <c r="AY41" s="514"/>
      <c r="AZ41" s="514"/>
      <c r="BA41" s="514"/>
      <c r="BB41" s="514"/>
      <c r="BC41" s="59"/>
      <c r="BD41" s="59"/>
      <c r="BE41" s="10"/>
    </row>
    <row r="42" spans="2:57" x14ac:dyDescent="0.3">
      <c r="B42" s="4"/>
      <c r="C42" s="425" t="s">
        <v>59</v>
      </c>
      <c r="D42" s="425"/>
      <c r="E42" s="425"/>
      <c r="F42" s="426" t="s">
        <v>90</v>
      </c>
      <c r="G42" s="425"/>
      <c r="H42" s="425"/>
      <c r="I42" s="425"/>
      <c r="J42" s="10"/>
      <c r="K42" s="59"/>
      <c r="L42" s="43"/>
      <c r="M42" s="43"/>
      <c r="Z42" s="4"/>
      <c r="AA42" s="425" t="s">
        <v>930</v>
      </c>
      <c r="AB42" s="425"/>
      <c r="AC42" s="425"/>
      <c r="AD42" s="421" t="s">
        <v>784</v>
      </c>
      <c r="AE42" s="425" t="s">
        <v>91</v>
      </c>
      <c r="AF42" s="425"/>
      <c r="AG42" s="425"/>
      <c r="AH42" s="10"/>
      <c r="AJ42" s="4"/>
      <c r="AK42" s="514" t="s">
        <v>1049</v>
      </c>
      <c r="AL42" s="514" t="s">
        <v>414</v>
      </c>
      <c r="AM42" s="17" t="s">
        <v>1051</v>
      </c>
      <c r="AN42" s="514"/>
      <c r="AO42" s="514"/>
      <c r="AP42" s="514"/>
      <c r="AQ42" s="514"/>
      <c r="AR42" s="514"/>
      <c r="AS42" s="514"/>
      <c r="AT42" s="514"/>
      <c r="AU42" s="514"/>
      <c r="AV42" s="514"/>
      <c r="AW42" s="514"/>
      <c r="AX42" s="514"/>
      <c r="AY42" s="514"/>
      <c r="AZ42" s="514"/>
      <c r="BA42" s="514"/>
      <c r="BB42" s="514"/>
      <c r="BC42" s="59"/>
      <c r="BD42" s="59"/>
      <c r="BE42" s="10"/>
    </row>
    <row r="43" spans="2:57" x14ac:dyDescent="0.3">
      <c r="B43" s="4"/>
      <c r="C43" s="425" t="s">
        <v>54</v>
      </c>
      <c r="D43" s="425"/>
      <c r="E43" s="425"/>
      <c r="F43" s="421" t="s">
        <v>55</v>
      </c>
      <c r="G43" s="425"/>
      <c r="H43" s="425"/>
      <c r="I43" s="425"/>
      <c r="J43" s="10"/>
      <c r="K43" s="59"/>
      <c r="L43" s="43"/>
      <c r="M43" s="43"/>
      <c r="Z43" s="4"/>
      <c r="AA43" s="425" t="s">
        <v>49</v>
      </c>
      <c r="AB43" s="425"/>
      <c r="AC43" s="425"/>
      <c r="AD43" s="421" t="s">
        <v>131</v>
      </c>
      <c r="AE43" s="425"/>
      <c r="AF43" s="425"/>
      <c r="AG43" s="425"/>
      <c r="AH43" s="10"/>
      <c r="AJ43" s="4"/>
      <c r="AK43" s="514"/>
      <c r="AL43" s="514" t="s">
        <v>417</v>
      </c>
      <c r="AM43" s="17" t="s">
        <v>1052</v>
      </c>
      <c r="AN43" s="514"/>
      <c r="AO43" s="514"/>
      <c r="AP43" s="514"/>
      <c r="AQ43" s="514"/>
      <c r="AR43" s="514"/>
      <c r="AS43" s="514"/>
      <c r="AT43" s="514"/>
      <c r="AU43" s="514"/>
      <c r="AV43" s="514"/>
      <c r="AW43" s="514"/>
      <c r="AX43" s="514"/>
      <c r="AY43" s="514"/>
      <c r="AZ43" s="514"/>
      <c r="BA43" s="514"/>
      <c r="BB43" s="514"/>
      <c r="BC43" s="59"/>
      <c r="BD43" s="59"/>
      <c r="BE43" s="10"/>
    </row>
    <row r="44" spans="2:57" x14ac:dyDescent="0.3">
      <c r="B44" s="4"/>
      <c r="C44" s="425" t="s">
        <v>930</v>
      </c>
      <c r="D44" s="425"/>
      <c r="E44" s="425"/>
      <c r="F44" s="421" t="str">
        <f>IF(L6&lt;50,VLOOKUP(F8,C69:F82,4,FALSE),VLOOKUP(F8,C69:F82,2,FALSE))</f>
        <v>1120-1180</v>
      </c>
      <c r="G44" s="425" t="s">
        <v>91</v>
      </c>
      <c r="H44" s="425"/>
      <c r="I44" s="425"/>
      <c r="J44" s="10"/>
      <c r="K44" s="59"/>
      <c r="L44" s="43"/>
      <c r="M44" s="43"/>
      <c r="Z44" s="4"/>
      <c r="AA44" s="425" t="s">
        <v>51</v>
      </c>
      <c r="AB44" s="425"/>
      <c r="AC44" s="425"/>
      <c r="AD44" s="421" t="s">
        <v>786</v>
      </c>
      <c r="AE44" s="425"/>
      <c r="AF44" s="425"/>
      <c r="AG44" s="425"/>
      <c r="AH44" s="10"/>
      <c r="AJ44" s="4"/>
      <c r="AK44" s="59"/>
      <c r="AL44" s="514" t="s">
        <v>419</v>
      </c>
      <c r="AM44" s="59" t="s">
        <v>1053</v>
      </c>
      <c r="AN44" s="59"/>
      <c r="AO44" s="59"/>
      <c r="AP44" s="59"/>
      <c r="AQ44" s="514"/>
      <c r="AR44" s="514"/>
      <c r="AS44" s="514"/>
      <c r="AT44" s="514"/>
      <c r="AU44" s="514"/>
      <c r="AV44" s="514"/>
      <c r="AW44" s="514"/>
      <c r="AX44" s="514"/>
      <c r="AY44" s="514"/>
      <c r="AZ44" s="514"/>
      <c r="BA44" s="514"/>
      <c r="BB44" s="514"/>
      <c r="BC44" s="59"/>
      <c r="BD44" s="59"/>
      <c r="BE44" s="10"/>
    </row>
    <row r="45" spans="2:57" ht="15" thickBot="1" x14ac:dyDescent="0.35">
      <c r="B45" s="4"/>
      <c r="C45" s="425" t="s">
        <v>49</v>
      </c>
      <c r="D45" s="425"/>
      <c r="E45" s="425"/>
      <c r="F45" s="421" t="str">
        <f>VLOOKUP(F8,Данные!A3:I27,6,FALSE())</f>
        <v>25010.00176</v>
      </c>
      <c r="G45" s="425"/>
      <c r="H45" s="425"/>
      <c r="I45" s="425"/>
      <c r="J45" s="10"/>
      <c r="K45" s="59"/>
      <c r="L45" s="43"/>
      <c r="M45" s="43"/>
      <c r="Z45" s="4"/>
      <c r="AA45" s="425" t="s">
        <v>65</v>
      </c>
      <c r="AB45" s="425"/>
      <c r="AC45" s="421"/>
      <c r="AD45" s="421" t="s">
        <v>66</v>
      </c>
      <c r="AE45" s="425"/>
      <c r="AF45" s="425"/>
      <c r="AG45" s="425"/>
      <c r="AH45" s="10"/>
      <c r="AJ45" s="4"/>
      <c r="AK45" s="17" t="s">
        <v>1050</v>
      </c>
      <c r="AL45" s="514"/>
      <c r="AM45" s="514"/>
      <c r="AN45" s="514"/>
      <c r="AO45" s="514"/>
      <c r="AP45" s="514"/>
      <c r="AQ45" s="514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10"/>
    </row>
    <row r="46" spans="2:57" ht="15" thickBot="1" x14ac:dyDescent="0.35">
      <c r="B46" s="4"/>
      <c r="C46" s="425" t="s">
        <v>51</v>
      </c>
      <c r="D46" s="425"/>
      <c r="E46" s="425"/>
      <c r="F46" s="421" t="s">
        <v>786</v>
      </c>
      <c r="G46" s="425"/>
      <c r="H46" s="425"/>
      <c r="I46" s="425"/>
      <c r="J46" s="10"/>
      <c r="K46" s="59"/>
      <c r="L46" s="43"/>
      <c r="M46" s="43"/>
      <c r="Z46" s="1570" t="s">
        <v>67</v>
      </c>
      <c r="AA46" s="1643"/>
      <c r="AB46" s="1571"/>
      <c r="AC46" s="427" t="s">
        <v>68</v>
      </c>
      <c r="AD46" s="428" t="s">
        <v>67</v>
      </c>
      <c r="AE46" s="13"/>
      <c r="AF46" s="71" t="s">
        <v>69</v>
      </c>
      <c r="AG46" s="71"/>
      <c r="AH46" s="13"/>
      <c r="AJ46" s="19"/>
      <c r="AK46" s="21" t="s">
        <v>1054</v>
      </c>
      <c r="AL46" s="423"/>
      <c r="AM46" s="423"/>
      <c r="AN46" s="423"/>
      <c r="AO46" s="423"/>
      <c r="AP46" s="423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40"/>
    </row>
    <row r="47" spans="2:57" ht="15" thickBot="1" x14ac:dyDescent="0.35">
      <c r="B47" s="4"/>
      <c r="C47" s="425" t="s">
        <v>65</v>
      </c>
      <c r="D47" s="425"/>
      <c r="E47" s="421"/>
      <c r="F47" s="421" t="s">
        <v>66</v>
      </c>
      <c r="G47" s="425"/>
      <c r="H47" s="425"/>
      <c r="I47" s="425"/>
      <c r="J47" s="10"/>
      <c r="K47" s="59"/>
      <c r="L47" s="43"/>
      <c r="M47" s="43"/>
      <c r="Z47" s="1644">
        <f ca="1">TODAY()</f>
        <v>45428</v>
      </c>
      <c r="AA47" s="1645"/>
      <c r="AB47" s="1646"/>
      <c r="AC47" s="39"/>
      <c r="AD47" s="1"/>
      <c r="AE47" s="80"/>
      <c r="AF47" s="2"/>
      <c r="AG47" s="2"/>
      <c r="AH47" s="80"/>
    </row>
    <row r="48" spans="2:57" ht="15" thickBot="1" x14ac:dyDescent="0.35">
      <c r="B48" s="1570" t="s">
        <v>67</v>
      </c>
      <c r="C48" s="1643"/>
      <c r="D48" s="1571"/>
      <c r="E48" s="427" t="s">
        <v>68</v>
      </c>
      <c r="F48" s="428" t="s">
        <v>67</v>
      </c>
      <c r="G48" s="13"/>
      <c r="H48" s="71" t="s">
        <v>69</v>
      </c>
      <c r="I48" s="71"/>
      <c r="J48" s="13"/>
      <c r="K48" s="59"/>
      <c r="L48" s="43"/>
      <c r="M48" s="43"/>
      <c r="Z48" s="1570" t="s">
        <v>70</v>
      </c>
      <c r="AA48" s="1643"/>
      <c r="AB48" s="1571"/>
      <c r="AC48" s="21"/>
      <c r="AD48" s="65"/>
      <c r="AE48" s="65"/>
      <c r="AF48" s="65"/>
      <c r="AG48" s="65"/>
      <c r="AH48" s="40"/>
    </row>
    <row r="49" spans="2:13" ht="15" thickBot="1" x14ac:dyDescent="0.35">
      <c r="B49" s="1644">
        <f ca="1">TODAY()</f>
        <v>45428</v>
      </c>
      <c r="C49" s="1645"/>
      <c r="D49" s="1646"/>
      <c r="E49" s="39"/>
      <c r="F49" s="1"/>
      <c r="G49" s="80"/>
      <c r="H49" s="2"/>
      <c r="I49" s="2"/>
      <c r="J49" s="80"/>
      <c r="K49" s="59"/>
      <c r="L49" s="43"/>
      <c r="M49" s="43"/>
    </row>
    <row r="50" spans="2:13" ht="15" thickBot="1" x14ac:dyDescent="0.35">
      <c r="B50" s="1570" t="s">
        <v>70</v>
      </c>
      <c r="C50" s="1643"/>
      <c r="D50" s="1571"/>
      <c r="E50" s="21"/>
      <c r="F50" s="65"/>
      <c r="G50" s="65"/>
      <c r="H50" s="65"/>
      <c r="I50" s="65"/>
      <c r="J50" s="40"/>
      <c r="K50" s="59"/>
      <c r="L50" s="43"/>
      <c r="M50" s="43"/>
    </row>
    <row r="51" spans="2:13" x14ac:dyDescent="0.3">
      <c r="K51" s="59"/>
    </row>
    <row r="68" spans="3:6" x14ac:dyDescent="0.3">
      <c r="D68" t="s">
        <v>1060</v>
      </c>
      <c r="F68" t="s">
        <v>1166</v>
      </c>
    </row>
    <row r="69" spans="3:6" x14ac:dyDescent="0.3">
      <c r="C69" s="220" t="s">
        <v>9</v>
      </c>
      <c r="D69" s="43" t="s">
        <v>119</v>
      </c>
      <c r="E69" s="43">
        <v>9.1</v>
      </c>
      <c r="F69" t="s">
        <v>1061</v>
      </c>
    </row>
    <row r="70" spans="3:6" x14ac:dyDescent="0.3">
      <c r="C70" s="220" t="s">
        <v>21</v>
      </c>
      <c r="D70" s="43" t="s">
        <v>129</v>
      </c>
      <c r="E70" s="43">
        <v>8.8800000000000008</v>
      </c>
      <c r="F70" t="s">
        <v>1062</v>
      </c>
    </row>
    <row r="71" spans="3:6" x14ac:dyDescent="0.3">
      <c r="C71" s="220" t="s">
        <v>783</v>
      </c>
      <c r="D71" s="43" t="s">
        <v>129</v>
      </c>
      <c r="E71" s="43">
        <v>8.6999999999999993</v>
      </c>
      <c r="F71" t="s">
        <v>1062</v>
      </c>
    </row>
    <row r="72" spans="3:6" x14ac:dyDescent="0.3">
      <c r="C72" s="220" t="s">
        <v>15</v>
      </c>
      <c r="D72" s="43" t="s">
        <v>129</v>
      </c>
      <c r="E72" s="43">
        <v>8.8800000000000008</v>
      </c>
      <c r="F72" t="s">
        <v>1061</v>
      </c>
    </row>
    <row r="73" spans="3:6" x14ac:dyDescent="0.3">
      <c r="C73" s="220" t="s">
        <v>127</v>
      </c>
      <c r="D73" s="60" t="s">
        <v>784</v>
      </c>
      <c r="E73" s="43">
        <v>7.5</v>
      </c>
      <c r="F73" t="s">
        <v>1063</v>
      </c>
    </row>
    <row r="74" spans="3:6" x14ac:dyDescent="0.3">
      <c r="C74" s="220" t="s">
        <v>37</v>
      </c>
      <c r="D74" s="60" t="s">
        <v>784</v>
      </c>
      <c r="E74" s="43">
        <v>7.5</v>
      </c>
      <c r="F74" s="43" t="s">
        <v>1063</v>
      </c>
    </row>
    <row r="75" spans="3:6" x14ac:dyDescent="0.3">
      <c r="C75" s="220" t="s">
        <v>28</v>
      </c>
      <c r="D75" s="60" t="s">
        <v>784</v>
      </c>
      <c r="E75" s="43">
        <v>7.5</v>
      </c>
      <c r="F75" s="43" t="s">
        <v>1063</v>
      </c>
    </row>
    <row r="76" spans="3:6" x14ac:dyDescent="0.3">
      <c r="C76" s="220" t="s">
        <v>33</v>
      </c>
      <c r="D76" s="60" t="s">
        <v>784</v>
      </c>
      <c r="E76" s="43">
        <v>8.1</v>
      </c>
      <c r="F76" t="s">
        <v>1063</v>
      </c>
    </row>
    <row r="77" spans="3:6" x14ac:dyDescent="0.3">
      <c r="C77" s="220" t="s">
        <v>31</v>
      </c>
      <c r="D77" s="60" t="s">
        <v>784</v>
      </c>
      <c r="E77" s="43">
        <v>7.8</v>
      </c>
      <c r="F77" t="s">
        <v>1063</v>
      </c>
    </row>
    <row r="78" spans="3:6" ht="15.6" x14ac:dyDescent="0.3">
      <c r="C78" s="226" t="s">
        <v>39</v>
      </c>
      <c r="D78" s="60" t="s">
        <v>784</v>
      </c>
      <c r="E78" s="43">
        <v>7.8</v>
      </c>
      <c r="F78" t="s">
        <v>1063</v>
      </c>
    </row>
    <row r="79" spans="3:6" ht="15.6" x14ac:dyDescent="0.3">
      <c r="C79" s="226" t="s">
        <v>35</v>
      </c>
      <c r="D79" s="60" t="s">
        <v>784</v>
      </c>
      <c r="E79" s="43">
        <v>7.6</v>
      </c>
      <c r="F79" t="s">
        <v>1063</v>
      </c>
    </row>
    <row r="80" spans="3:6" x14ac:dyDescent="0.3">
      <c r="C80" s="220" t="s">
        <v>133</v>
      </c>
      <c r="D80" s="60" t="s">
        <v>134</v>
      </c>
      <c r="E80" s="43">
        <v>8.5</v>
      </c>
      <c r="F80" t="s">
        <v>134</v>
      </c>
    </row>
    <row r="81" spans="3:6" x14ac:dyDescent="0.3">
      <c r="C81" s="220" t="s">
        <v>136</v>
      </c>
      <c r="D81" s="60" t="s">
        <v>785</v>
      </c>
      <c r="E81" s="43">
        <v>8.5</v>
      </c>
      <c r="F81" t="s">
        <v>1064</v>
      </c>
    </row>
    <row r="82" spans="3:6" x14ac:dyDescent="0.3">
      <c r="C82" s="220" t="s">
        <v>141</v>
      </c>
      <c r="D82" s="60" t="s">
        <v>785</v>
      </c>
      <c r="E82" s="43">
        <v>8.5</v>
      </c>
      <c r="F82" t="s">
        <v>1065</v>
      </c>
    </row>
  </sheetData>
  <mergeCells count="17">
    <mergeCell ref="B50:D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AM31:AN31"/>
    <mergeCell ref="Z46:AB46"/>
    <mergeCell ref="Z47:AB47"/>
    <mergeCell ref="Z48:AB48"/>
    <mergeCell ref="Q15:U15"/>
    <mergeCell ref="AM29:AN29"/>
    <mergeCell ref="U17:V18"/>
  </mergeCells>
  <dataValidations count="2">
    <dataValidation type="list" allowBlank="1" showInputMessage="1" showErrorMessage="1" sqref="J3 AH3" xr:uid="{E139EA59-4A1F-4A44-B14C-8D3C4C828A73}">
      <formula1>$O$4:$O$12</formula1>
    </dataValidation>
    <dataValidation type="list" allowBlank="1" showInputMessage="1" showErrorMessage="1" sqref="AD8 F8" xr:uid="{DD9468B2-7D27-4A1F-A735-C3F6F7092431}">
      <formula1>$C$69:$C$82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zoomScale="70" zoomScaleNormal="70" workbookViewId="0">
      <selection activeCell="U28" sqref="U28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693"/>
      <c r="C2" s="694"/>
      <c r="D2" s="694"/>
      <c r="E2" s="694"/>
      <c r="F2" s="694"/>
      <c r="G2" s="694"/>
      <c r="H2" s="694"/>
      <c r="I2" s="694"/>
      <c r="J2" s="694"/>
      <c r="K2" s="694"/>
      <c r="L2" s="695"/>
      <c r="M2" s="43"/>
      <c r="N2" s="380" t="s">
        <v>923</v>
      </c>
    </row>
    <row r="3" spans="1:14" x14ac:dyDescent="0.3">
      <c r="A3" s="43"/>
      <c r="B3" s="696"/>
      <c r="C3" s="12"/>
      <c r="D3" s="71"/>
      <c r="E3" s="71"/>
      <c r="F3" s="71"/>
      <c r="G3" s="71"/>
      <c r="H3" s="71"/>
      <c r="I3" s="71"/>
      <c r="J3" s="71"/>
      <c r="K3" s="13"/>
      <c r="L3" s="697"/>
      <c r="M3" s="43"/>
      <c r="N3" s="741" t="s">
        <v>922</v>
      </c>
    </row>
    <row r="4" spans="1:14" ht="18" x14ac:dyDescent="0.35">
      <c r="A4" s="43"/>
      <c r="B4" s="696"/>
      <c r="C4" s="4"/>
      <c r="D4" s="1669" t="s">
        <v>816</v>
      </c>
      <c r="E4" s="1669"/>
      <c r="F4" s="1669"/>
      <c r="G4" s="1669"/>
      <c r="H4" s="1669"/>
      <c r="I4" s="1669"/>
      <c r="J4" s="1669"/>
      <c r="K4" s="10"/>
      <c r="L4" s="697"/>
      <c r="M4" s="43"/>
      <c r="N4" s="765" t="s">
        <v>279</v>
      </c>
    </row>
    <row r="5" spans="1:14" ht="15.6" x14ac:dyDescent="0.3">
      <c r="A5" s="43"/>
      <c r="B5" s="696"/>
      <c r="C5" s="698"/>
      <c r="D5" s="1670" t="s">
        <v>863</v>
      </c>
      <c r="E5" s="1670"/>
      <c r="F5" s="1670"/>
      <c r="G5" s="1670"/>
      <c r="H5" s="1670"/>
      <c r="I5" s="1670"/>
      <c r="J5" s="1670"/>
      <c r="K5" s="699"/>
      <c r="L5" s="697"/>
      <c r="M5" s="43"/>
      <c r="N5" s="1009" t="s">
        <v>1078</v>
      </c>
    </row>
    <row r="6" spans="1:14" ht="15.6" x14ac:dyDescent="0.3">
      <c r="A6" s="43"/>
      <c r="B6" s="696"/>
      <c r="C6" s="698"/>
      <c r="D6" s="1670" t="s">
        <v>864</v>
      </c>
      <c r="E6" s="1670"/>
      <c r="F6" s="1670"/>
      <c r="G6" s="1670"/>
      <c r="H6" s="1670"/>
      <c r="I6" s="1670"/>
      <c r="J6" s="1670"/>
      <c r="K6" s="699"/>
      <c r="L6" s="697"/>
      <c r="M6" s="43"/>
      <c r="N6" s="43"/>
    </row>
    <row r="7" spans="1:14" ht="15.6" x14ac:dyDescent="0.3">
      <c r="A7" s="43"/>
      <c r="B7" s="696"/>
      <c r="C7" s="698"/>
      <c r="D7" s="689"/>
      <c r="E7" s="689"/>
      <c r="F7" s="689"/>
      <c r="G7" s="689"/>
      <c r="H7" s="689"/>
      <c r="I7" s="689"/>
      <c r="J7" s="700"/>
      <c r="K7" s="699"/>
      <c r="L7" s="697"/>
      <c r="M7" s="43"/>
      <c r="N7" s="43"/>
    </row>
    <row r="8" spans="1:14" ht="15.6" x14ac:dyDescent="0.3">
      <c r="A8" s="43"/>
      <c r="B8" s="696"/>
      <c r="C8" s="698"/>
      <c r="D8" s="689"/>
      <c r="E8" s="689"/>
      <c r="F8" s="689"/>
      <c r="G8" s="689"/>
      <c r="H8" s="689"/>
      <c r="I8" s="689"/>
      <c r="J8" s="700"/>
      <c r="K8" s="699"/>
      <c r="L8" s="697"/>
      <c r="M8" s="43"/>
      <c r="N8" s="43"/>
    </row>
    <row r="9" spans="1:14" ht="15.6" x14ac:dyDescent="0.3">
      <c r="A9" s="43"/>
      <c r="B9" s="696"/>
      <c r="C9" s="698"/>
      <c r="D9" s="689"/>
      <c r="E9" s="689"/>
      <c r="F9" s="689"/>
      <c r="G9" s="689"/>
      <c r="H9" s="689"/>
      <c r="I9" s="689"/>
      <c r="J9" s="700"/>
      <c r="K9" s="699"/>
      <c r="L9" s="697"/>
      <c r="M9" s="43"/>
      <c r="N9" s="43"/>
    </row>
    <row r="10" spans="1:14" ht="15.6" x14ac:dyDescent="0.3">
      <c r="A10" s="43"/>
      <c r="B10" s="696"/>
      <c r="C10" s="698"/>
      <c r="D10" s="635"/>
      <c r="E10" s="635"/>
      <c r="F10" s="635"/>
      <c r="G10" s="635"/>
      <c r="H10" s="635"/>
      <c r="I10" s="635"/>
      <c r="J10" s="701"/>
      <c r="K10" s="699"/>
      <c r="L10" s="697"/>
      <c r="M10" s="43"/>
      <c r="N10" s="43"/>
    </row>
    <row r="11" spans="1:14" ht="15.6" x14ac:dyDescent="0.3">
      <c r="A11" s="43"/>
      <c r="B11" s="696"/>
      <c r="C11" s="702">
        <v>1</v>
      </c>
      <c r="D11" s="635" t="s">
        <v>865</v>
      </c>
      <c r="E11" s="1112" t="s">
        <v>1287</v>
      </c>
      <c r="F11" s="635"/>
      <c r="G11" s="635"/>
      <c r="H11" s="635" t="s">
        <v>866</v>
      </c>
      <c r="I11" s="995" t="s">
        <v>1289</v>
      </c>
      <c r="J11" s="701"/>
      <c r="K11" s="699"/>
      <c r="L11" s="697"/>
      <c r="M11" s="43"/>
      <c r="N11" s="43"/>
    </row>
    <row r="12" spans="1:14" ht="15.6" x14ac:dyDescent="0.3">
      <c r="A12" s="43"/>
      <c r="B12" s="696"/>
      <c r="C12" s="702"/>
      <c r="D12" s="635"/>
      <c r="E12" s="663" t="s">
        <v>1288</v>
      </c>
      <c r="F12" s="635"/>
      <c r="G12" s="635"/>
      <c r="H12" s="635"/>
      <c r="I12" s="663"/>
      <c r="J12" s="701"/>
      <c r="K12" s="699"/>
      <c r="L12" s="697"/>
      <c r="M12" s="43"/>
      <c r="N12" s="43"/>
    </row>
    <row r="13" spans="1:14" ht="15.6" x14ac:dyDescent="0.3">
      <c r="A13" s="43"/>
      <c r="B13" s="696"/>
      <c r="C13" s="702"/>
      <c r="D13" s="635"/>
      <c r="E13" s="663"/>
      <c r="F13" s="635"/>
      <c r="G13" s="635"/>
      <c r="H13" s="635" t="s">
        <v>867</v>
      </c>
      <c r="I13" s="703" t="s">
        <v>1290</v>
      </c>
      <c r="J13" s="701"/>
      <c r="K13" s="699"/>
      <c r="L13" s="697"/>
      <c r="M13" s="43"/>
      <c r="N13" s="43"/>
    </row>
    <row r="14" spans="1:14" ht="15.6" x14ac:dyDescent="0.3">
      <c r="A14" s="43"/>
      <c r="B14" s="696"/>
      <c r="C14" s="702"/>
      <c r="D14" s="635"/>
      <c r="E14" s="663"/>
      <c r="F14" s="635"/>
      <c r="G14" s="635"/>
      <c r="H14" s="635"/>
      <c r="I14" s="663"/>
      <c r="J14" s="701"/>
      <c r="K14" s="699"/>
      <c r="L14" s="697"/>
      <c r="M14" s="43"/>
      <c r="N14" s="43"/>
    </row>
    <row r="15" spans="1:14" ht="15.6" x14ac:dyDescent="0.3">
      <c r="A15" s="43"/>
      <c r="B15" s="696"/>
      <c r="C15" s="702">
        <v>2</v>
      </c>
      <c r="D15" s="635" t="s">
        <v>6</v>
      </c>
      <c r="E15" s="703" t="s">
        <v>7</v>
      </c>
      <c r="F15" s="635"/>
      <c r="G15" s="635"/>
      <c r="H15" s="635" t="s">
        <v>868</v>
      </c>
      <c r="I15" s="635"/>
      <c r="J15" s="704" t="s">
        <v>1291</v>
      </c>
      <c r="K15" s="699" t="s">
        <v>869</v>
      </c>
      <c r="L15" s="697"/>
      <c r="M15" s="43"/>
      <c r="N15" s="43"/>
    </row>
    <row r="16" spans="1:14" ht="15.6" x14ac:dyDescent="0.3">
      <c r="A16" s="43"/>
      <c r="B16" s="696"/>
      <c r="C16" s="702"/>
      <c r="D16" s="635"/>
      <c r="E16" s="663"/>
      <c r="F16" s="635"/>
      <c r="G16" s="635"/>
      <c r="H16" s="635"/>
      <c r="I16" s="635"/>
      <c r="J16" s="701"/>
      <c r="K16" s="699"/>
      <c r="L16" s="697"/>
      <c r="M16" s="43"/>
      <c r="N16" s="43"/>
    </row>
    <row r="17" spans="1:14" ht="15.6" x14ac:dyDescent="0.3">
      <c r="A17" s="43"/>
      <c r="B17" s="696"/>
      <c r="C17" s="702">
        <v>3</v>
      </c>
      <c r="D17" s="635" t="s">
        <v>870</v>
      </c>
      <c r="E17" s="635"/>
      <c r="F17" s="668" t="s">
        <v>871</v>
      </c>
      <c r="G17" s="705">
        <v>782.5</v>
      </c>
      <c r="H17" s="635" t="s">
        <v>872</v>
      </c>
      <c r="I17" s="705">
        <v>660</v>
      </c>
      <c r="J17" s="706" t="s">
        <v>873</v>
      </c>
      <c r="K17" s="10"/>
      <c r="L17" s="697"/>
      <c r="M17" s="43"/>
      <c r="N17" s="43"/>
    </row>
    <row r="18" spans="1:14" ht="15.6" x14ac:dyDescent="0.3">
      <c r="A18" s="43"/>
      <c r="B18" s="696"/>
      <c r="C18" s="702"/>
      <c r="D18" s="635" t="s">
        <v>874</v>
      </c>
      <c r="E18" s="705">
        <v>26</v>
      </c>
      <c r="F18" s="635"/>
      <c r="G18" s="635"/>
      <c r="H18" s="635"/>
      <c r="I18" s="635"/>
      <c r="J18" s="701"/>
      <c r="K18" s="699"/>
      <c r="L18" s="697"/>
      <c r="M18" s="43"/>
      <c r="N18" s="43"/>
    </row>
    <row r="19" spans="1:14" ht="15.6" x14ac:dyDescent="0.3">
      <c r="A19" s="43"/>
      <c r="B19" s="696"/>
      <c r="C19" s="702"/>
      <c r="D19" s="635"/>
      <c r="E19" s="665"/>
      <c r="F19" s="43"/>
      <c r="G19" s="43"/>
      <c r="H19" s="707"/>
      <c r="I19" s="635"/>
      <c r="J19" s="701"/>
      <c r="K19" s="699"/>
      <c r="L19" s="697"/>
      <c r="M19" s="43"/>
      <c r="N19" s="43"/>
    </row>
    <row r="20" spans="1:14" ht="15.6" x14ac:dyDescent="0.3">
      <c r="A20" s="43"/>
      <c r="B20" s="696"/>
      <c r="C20" s="702">
        <v>4</v>
      </c>
      <c r="D20" s="635" t="s">
        <v>875</v>
      </c>
      <c r="E20" s="705">
        <v>390</v>
      </c>
      <c r="F20" s="635" t="s">
        <v>876</v>
      </c>
      <c r="G20" s="708">
        <v>29</v>
      </c>
      <c r="H20" s="635" t="s">
        <v>1138</v>
      </c>
      <c r="I20" s="1219"/>
      <c r="J20" s="701"/>
      <c r="K20" s="699"/>
      <c r="L20" s="697"/>
      <c r="M20" s="43"/>
      <c r="N20" s="43"/>
    </row>
    <row r="21" spans="1:14" ht="15.6" x14ac:dyDescent="0.3">
      <c r="A21" s="43"/>
      <c r="B21" s="696"/>
      <c r="C21" s="702"/>
      <c r="D21" s="635"/>
      <c r="E21" s="635"/>
      <c r="F21" s="664"/>
      <c r="G21" s="635"/>
      <c r="H21" s="664"/>
      <c r="I21" s="668"/>
      <c r="J21" s="701"/>
      <c r="K21" s="699"/>
      <c r="L21" s="697"/>
      <c r="M21" s="43"/>
      <c r="N21" s="43"/>
    </row>
    <row r="22" spans="1:14" ht="15.6" x14ac:dyDescent="0.3">
      <c r="A22" s="43"/>
      <c r="B22" s="696"/>
      <c r="C22" s="702">
        <v>5</v>
      </c>
      <c r="D22" s="635" t="s">
        <v>877</v>
      </c>
      <c r="E22" s="665" t="s">
        <v>878</v>
      </c>
      <c r="F22" s="635" t="s">
        <v>879</v>
      </c>
      <c r="G22" s="689" t="s">
        <v>878</v>
      </c>
      <c r="H22" s="635" t="s">
        <v>876</v>
      </c>
      <c r="I22" s="635"/>
      <c r="J22" s="709" t="s">
        <v>878</v>
      </c>
      <c r="K22" s="699"/>
      <c r="L22" s="697"/>
      <c r="M22" s="43"/>
      <c r="N22" s="43"/>
    </row>
    <row r="23" spans="1:14" ht="15.6" x14ac:dyDescent="0.3">
      <c r="A23" s="43"/>
      <c r="B23" s="696"/>
      <c r="C23" s="702"/>
      <c r="D23" s="635"/>
      <c r="E23" s="665"/>
      <c r="F23" s="635"/>
      <c r="G23" s="689"/>
      <c r="H23" s="635"/>
      <c r="I23" s="635"/>
      <c r="J23" s="709"/>
      <c r="K23" s="699"/>
      <c r="L23" s="697"/>
      <c r="M23" s="43"/>
      <c r="N23" s="43"/>
    </row>
    <row r="24" spans="1:14" ht="15.6" x14ac:dyDescent="0.3">
      <c r="A24" s="43"/>
      <c r="B24" s="696"/>
      <c r="C24" s="702">
        <v>6</v>
      </c>
      <c r="D24" s="710" t="s">
        <v>880</v>
      </c>
      <c r="E24" s="710"/>
      <c r="F24" s="711">
        <f>I17</f>
        <v>660</v>
      </c>
      <c r="G24" s="635"/>
      <c r="H24" s="635"/>
      <c r="I24" s="635"/>
      <c r="J24" s="701"/>
      <c r="K24" s="699"/>
      <c r="L24" s="697"/>
      <c r="M24" s="43"/>
      <c r="N24" s="43"/>
    </row>
    <row r="25" spans="1:14" ht="15.6" x14ac:dyDescent="0.3">
      <c r="A25" s="43"/>
      <c r="B25" s="696"/>
      <c r="C25" s="702"/>
      <c r="D25" s="1671" t="s">
        <v>881</v>
      </c>
      <c r="E25" s="1672"/>
      <c r="F25" s="740">
        <v>1040</v>
      </c>
      <c r="G25" s="664"/>
      <c r="H25" s="635"/>
      <c r="I25" s="635"/>
      <c r="J25" s="701"/>
      <c r="K25" s="699"/>
      <c r="L25" s="697"/>
      <c r="M25" s="43"/>
      <c r="N25" s="43"/>
    </row>
    <row r="26" spans="1:14" ht="15.6" x14ac:dyDescent="0.3">
      <c r="A26" s="43"/>
      <c r="B26" s="696"/>
      <c r="C26" s="702"/>
      <c r="D26" s="1673" t="s">
        <v>882</v>
      </c>
      <c r="E26" s="1674"/>
      <c r="F26" s="711">
        <v>230</v>
      </c>
      <c r="G26" s="664"/>
      <c r="H26" s="635"/>
      <c r="I26" s="635"/>
      <c r="J26" s="701"/>
      <c r="K26" s="699"/>
      <c r="L26" s="697"/>
      <c r="M26" s="43"/>
      <c r="N26" s="43"/>
    </row>
    <row r="27" spans="1:14" ht="15.6" x14ac:dyDescent="0.3">
      <c r="A27" s="43"/>
      <c r="B27" s="696"/>
      <c r="C27" s="702"/>
      <c r="D27" s="1675" t="s">
        <v>1292</v>
      </c>
      <c r="E27" s="1676"/>
      <c r="F27" s="712"/>
      <c r="G27" s="713"/>
      <c r="H27" s="701"/>
      <c r="I27" s="701"/>
      <c r="J27" s="701"/>
      <c r="K27" s="699"/>
      <c r="L27" s="697"/>
      <c r="M27" s="43"/>
      <c r="N27" s="43"/>
    </row>
    <row r="28" spans="1:14" ht="15.6" x14ac:dyDescent="0.3">
      <c r="A28" s="43"/>
      <c r="B28" s="696"/>
      <c r="C28" s="702"/>
      <c r="D28" s="1675" t="s">
        <v>1141</v>
      </c>
      <c r="E28" s="1676"/>
      <c r="F28" s="712"/>
      <c r="G28" s="713"/>
      <c r="H28" s="701"/>
      <c r="I28" s="701"/>
      <c r="J28" s="701"/>
      <c r="K28" s="699"/>
      <c r="L28" s="697"/>
      <c r="M28" s="43"/>
      <c r="N28" s="43"/>
    </row>
    <row r="29" spans="1:14" ht="15.6" x14ac:dyDescent="0.3">
      <c r="A29" s="43"/>
      <c r="B29" s="696"/>
      <c r="C29" s="702"/>
      <c r="D29" s="179"/>
      <c r="E29" s="701"/>
      <c r="F29" s="709"/>
      <c r="G29" s="713"/>
      <c r="H29" s="714"/>
      <c r="I29" s="701"/>
      <c r="J29" s="701"/>
      <c r="K29" s="699"/>
      <c r="L29" s="697"/>
      <c r="M29" s="43"/>
      <c r="N29" s="43"/>
    </row>
    <row r="30" spans="1:14" ht="15.6" x14ac:dyDescent="0.3">
      <c r="A30" s="43"/>
      <c r="B30" s="696"/>
      <c r="C30" s="702">
        <v>7</v>
      </c>
      <c r="D30" s="715" t="s">
        <v>883</v>
      </c>
      <c r="E30" s="715"/>
      <c r="F30" s="715"/>
      <c r="G30" s="715"/>
      <c r="H30" s="715"/>
      <c r="I30" s="715"/>
      <c r="J30" s="715"/>
      <c r="K30" s="699"/>
      <c r="L30" s="697"/>
      <c r="M30" s="43"/>
      <c r="N30" s="43"/>
    </row>
    <row r="31" spans="1:14" ht="15.6" x14ac:dyDescent="0.3">
      <c r="A31" s="43"/>
      <c r="B31" s="696"/>
      <c r="C31" s="698"/>
      <c r="D31" s="135" t="s">
        <v>884</v>
      </c>
      <c r="E31" s="716">
        <f>F27*0.99</f>
        <v>0</v>
      </c>
      <c r="F31" s="717"/>
      <c r="G31" s="717"/>
      <c r="H31" s="717"/>
      <c r="I31" s="717"/>
      <c r="J31" s="717"/>
      <c r="K31" s="699"/>
      <c r="L31" s="697"/>
      <c r="M31" s="43"/>
      <c r="N31" s="43"/>
    </row>
    <row r="32" spans="1:14" ht="15.6" x14ac:dyDescent="0.3">
      <c r="A32" s="43"/>
      <c r="B32" s="696"/>
      <c r="C32" s="702"/>
      <c r="D32" s="718" t="s">
        <v>260</v>
      </c>
      <c r="E32" s="716">
        <f>F28*0.985</f>
        <v>0</v>
      </c>
      <c r="F32" s="717"/>
      <c r="G32" s="717"/>
      <c r="H32" s="717"/>
      <c r="I32" s="717"/>
      <c r="J32" s="717"/>
      <c r="K32" s="699"/>
      <c r="L32" s="697"/>
      <c r="M32" s="43"/>
      <c r="N32" s="43"/>
    </row>
    <row r="33" spans="1:14" ht="15.6" x14ac:dyDescent="0.3">
      <c r="A33" s="43"/>
      <c r="B33" s="696"/>
      <c r="C33" s="698"/>
      <c r="D33" s="135" t="s">
        <v>885</v>
      </c>
      <c r="E33" s="716">
        <f>G17*0.99</f>
        <v>774.67499999999995</v>
      </c>
      <c r="F33" s="701"/>
      <c r="G33" s="701"/>
      <c r="H33" s="701"/>
      <c r="I33" s="701"/>
      <c r="J33" s="701"/>
      <c r="K33" s="699"/>
      <c r="L33" s="697"/>
      <c r="M33" s="43"/>
      <c r="N33" s="43"/>
    </row>
    <row r="34" spans="1:14" ht="15.6" x14ac:dyDescent="0.3">
      <c r="A34" s="43"/>
      <c r="B34" s="696"/>
      <c r="C34" s="698"/>
      <c r="D34" s="135" t="s">
        <v>886</v>
      </c>
      <c r="E34" s="719">
        <v>545</v>
      </c>
      <c r="F34" s="701"/>
      <c r="G34" s="701"/>
      <c r="H34" s="709"/>
      <c r="I34" s="701"/>
      <c r="J34" s="701"/>
      <c r="K34" s="699"/>
      <c r="L34" s="697"/>
      <c r="M34" s="43"/>
      <c r="N34" s="43"/>
    </row>
    <row r="35" spans="1:14" ht="15.6" x14ac:dyDescent="0.3">
      <c r="A35" s="43"/>
      <c r="B35" s="696"/>
      <c r="C35" s="698"/>
      <c r="D35" s="135" t="s">
        <v>887</v>
      </c>
      <c r="E35" s="716">
        <f>E34*1.03</f>
        <v>561.35</v>
      </c>
      <c r="F35" s="701"/>
      <c r="G35" s="701"/>
      <c r="H35" s="709"/>
      <c r="I35" s="701"/>
      <c r="J35" s="701"/>
      <c r="K35" s="699"/>
      <c r="L35" s="697"/>
      <c r="M35" s="43"/>
      <c r="N35" s="43"/>
    </row>
    <row r="36" spans="1:14" ht="15.6" x14ac:dyDescent="0.3">
      <c r="A36" s="43"/>
      <c r="B36" s="696"/>
      <c r="C36" s="698"/>
      <c r="D36" s="135" t="s">
        <v>888</v>
      </c>
      <c r="E36" s="716">
        <f>(I17+F28)*0.99</f>
        <v>653.4</v>
      </c>
      <c r="F36" s="720"/>
      <c r="G36" s="701"/>
      <c r="H36" s="701"/>
      <c r="I36" s="701"/>
      <c r="J36" s="701"/>
      <c r="K36" s="699"/>
      <c r="L36" s="697"/>
      <c r="M36" s="43"/>
      <c r="N36" s="43"/>
    </row>
    <row r="37" spans="1:14" ht="15.6" x14ac:dyDescent="0.3">
      <c r="A37" s="43"/>
      <c r="B37" s="696"/>
      <c r="C37" s="698"/>
      <c r="D37" s="701"/>
      <c r="E37" s="721"/>
      <c r="F37" s="701"/>
      <c r="G37" s="701"/>
      <c r="H37" s="721"/>
      <c r="I37" s="701"/>
      <c r="J37" s="701"/>
      <c r="K37" s="699"/>
      <c r="L37" s="697"/>
      <c r="M37" s="43"/>
      <c r="N37" s="43"/>
    </row>
    <row r="38" spans="1:14" ht="15.6" x14ac:dyDescent="0.3">
      <c r="A38" s="43"/>
      <c r="B38" s="696"/>
      <c r="C38" s="702">
        <v>8</v>
      </c>
      <c r="D38" s="701" t="s">
        <v>889</v>
      </c>
      <c r="E38" s="701"/>
      <c r="F38" s="722">
        <f>3.1415926*(E33*E33-E34*E34)*E74*E36/4000000/J39+3.1415926*(E31*E31-E33*E33)*E74*E32/4000000/J39</f>
        <v>460.40648232286611</v>
      </c>
      <c r="G38" s="701" t="s">
        <v>890</v>
      </c>
      <c r="H38" s="701"/>
      <c r="I38" s="723">
        <f>F38</f>
        <v>460.40648232286611</v>
      </c>
      <c r="J38" s="701"/>
      <c r="K38" s="699"/>
      <c r="L38" s="697"/>
      <c r="M38" s="43"/>
      <c r="N38" s="43"/>
    </row>
    <row r="39" spans="1:14" ht="15.6" x14ac:dyDescent="0.3">
      <c r="A39" s="43"/>
      <c r="B39" s="696"/>
      <c r="C39" s="698"/>
      <c r="D39" s="43"/>
      <c r="E39" s="701" t="s">
        <v>891</v>
      </c>
      <c r="F39" s="724">
        <f>I38*1.04</f>
        <v>478.82274161578079</v>
      </c>
      <c r="G39" s="701" t="s">
        <v>892</v>
      </c>
      <c r="H39" s="701"/>
      <c r="I39" s="701"/>
      <c r="J39" s="705">
        <v>3</v>
      </c>
      <c r="K39" s="699"/>
      <c r="L39" s="697"/>
      <c r="M39" s="43"/>
      <c r="N39" s="43"/>
    </row>
    <row r="40" spans="1:14" ht="15.6" x14ac:dyDescent="0.3">
      <c r="A40" s="43"/>
      <c r="B40" s="696"/>
      <c r="C40" s="698"/>
      <c r="D40" s="701" t="s">
        <v>893</v>
      </c>
      <c r="E40" s="701"/>
      <c r="F40" s="724">
        <f>F39*J39</f>
        <v>1436.4682248473423</v>
      </c>
      <c r="G40" s="701"/>
      <c r="H40" s="701"/>
      <c r="I40" s="701"/>
      <c r="J40" s="709"/>
      <c r="K40" s="699"/>
      <c r="L40" s="697"/>
      <c r="M40" s="43"/>
      <c r="N40" s="43"/>
    </row>
    <row r="41" spans="1:14" ht="15.6" x14ac:dyDescent="0.3">
      <c r="A41" s="43"/>
      <c r="B41" s="696"/>
      <c r="C41" s="698"/>
      <c r="D41" s="701"/>
      <c r="E41" s="701"/>
      <c r="F41" s="724"/>
      <c r="G41" s="701"/>
      <c r="H41" s="701"/>
      <c r="I41" s="701"/>
      <c r="J41" s="709"/>
      <c r="K41" s="699"/>
      <c r="L41" s="697"/>
      <c r="M41" s="43"/>
      <c r="N41" s="43"/>
    </row>
    <row r="42" spans="1:14" ht="15.6" x14ac:dyDescent="0.3">
      <c r="A42" s="43"/>
      <c r="B42" s="696"/>
      <c r="C42" s="698"/>
      <c r="D42" s="1677" t="str">
        <f>IF(E34-E20&gt;20,D73&amp;E73&amp;F73,"")</f>
        <v>Металл в ковш сливать по показаниям тензодатчиков печи FS-30. Всего 1400 кг.</v>
      </c>
      <c r="E42" s="1677"/>
      <c r="F42" s="1677"/>
      <c r="G42" s="1677"/>
      <c r="H42" s="1677"/>
      <c r="I42" s="1677"/>
      <c r="J42" s="1677"/>
      <c r="K42" s="1678"/>
      <c r="L42" s="697"/>
      <c r="M42" s="43"/>
      <c r="N42" s="43"/>
    </row>
    <row r="43" spans="1:14" ht="15.6" x14ac:dyDescent="0.3">
      <c r="A43" s="43"/>
      <c r="B43" s="696"/>
      <c r="C43" s="698"/>
      <c r="D43" s="1677"/>
      <c r="E43" s="1677"/>
      <c r="F43" s="1677"/>
      <c r="G43" s="1677"/>
      <c r="H43" s="1677"/>
      <c r="I43" s="1677"/>
      <c r="J43" s="1677"/>
      <c r="K43" s="1678"/>
      <c r="L43" s="697"/>
      <c r="M43" s="43"/>
      <c r="N43" s="43"/>
    </row>
    <row r="44" spans="1:14" ht="21" x14ac:dyDescent="0.4">
      <c r="A44" s="43"/>
      <c r="B44" s="696"/>
      <c r="C44" s="698"/>
      <c r="D44" s="725"/>
      <c r="E44" s="725"/>
      <c r="F44" s="725"/>
      <c r="G44" s="725"/>
      <c r="H44" s="725"/>
      <c r="I44" s="725"/>
      <c r="J44" s="725"/>
      <c r="K44" s="699"/>
      <c r="L44" s="697"/>
      <c r="M44" s="43"/>
      <c r="N44" s="43"/>
    </row>
    <row r="45" spans="1:14" ht="15.6" x14ac:dyDescent="0.3">
      <c r="A45" s="43"/>
      <c r="B45" s="696"/>
      <c r="C45" s="702">
        <v>9</v>
      </c>
      <c r="D45" s="701" t="s">
        <v>894</v>
      </c>
      <c r="E45" s="701"/>
      <c r="F45" s="726" t="str">
        <f>VLOOKUP(E47,Данные!A3:F22,6,FALSE())&amp;", ТИ 25012.00014"</f>
        <v>25010.00174, ТИ 25012.00014</v>
      </c>
      <c r="G45" s="701"/>
      <c r="H45" s="701"/>
      <c r="I45" s="701"/>
      <c r="J45" s="701"/>
      <c r="K45" s="699"/>
      <c r="L45" s="697"/>
      <c r="M45" s="43"/>
      <c r="N45" s="43"/>
    </row>
    <row r="46" spans="1:14" ht="15.6" x14ac:dyDescent="0.3">
      <c r="A46" s="43"/>
      <c r="B46" s="696"/>
      <c r="C46" s="702"/>
      <c r="D46" s="701"/>
      <c r="E46" s="701"/>
      <c r="F46" s="701"/>
      <c r="G46" s="726"/>
      <c r="H46" s="701"/>
      <c r="I46" s="701"/>
      <c r="J46" s="701"/>
      <c r="K46" s="699"/>
      <c r="L46" s="697"/>
      <c r="M46" s="43"/>
      <c r="N46" s="43"/>
    </row>
    <row r="47" spans="1:14" ht="15.6" x14ac:dyDescent="0.3">
      <c r="A47" s="43"/>
      <c r="B47" s="696"/>
      <c r="C47" s="702">
        <v>10</v>
      </c>
      <c r="D47" s="701" t="s">
        <v>895</v>
      </c>
      <c r="E47" s="703" t="s">
        <v>15</v>
      </c>
      <c r="F47" s="701"/>
      <c r="G47" s="701"/>
      <c r="H47" s="701"/>
      <c r="I47" s="701"/>
      <c r="J47" s="701"/>
      <c r="K47" s="699"/>
      <c r="L47" s="697"/>
      <c r="M47" s="43"/>
      <c r="N47" s="43"/>
    </row>
    <row r="48" spans="1:14" ht="15.6" x14ac:dyDescent="0.3">
      <c r="A48" s="43"/>
      <c r="B48" s="696"/>
      <c r="C48" s="702"/>
      <c r="D48" s="701"/>
      <c r="E48" s="701"/>
      <c r="F48" s="726"/>
      <c r="G48" s="701"/>
      <c r="H48" s="701"/>
      <c r="I48" s="701"/>
      <c r="J48" s="701"/>
      <c r="K48" s="699"/>
      <c r="L48" s="697"/>
      <c r="M48" s="43"/>
      <c r="N48" s="43"/>
    </row>
    <row r="49" spans="1:14" ht="15.6" x14ac:dyDescent="0.3">
      <c r="A49" s="43"/>
      <c r="B49" s="696"/>
      <c r="C49" s="702">
        <v>11</v>
      </c>
      <c r="D49" s="1679" t="s">
        <v>896</v>
      </c>
      <c r="E49" s="1679"/>
      <c r="F49" s="1679"/>
      <c r="G49" s="1679"/>
      <c r="H49" s="1680"/>
      <c r="I49" s="1679"/>
      <c r="J49" s="1679"/>
      <c r="K49" s="699"/>
      <c r="L49" s="697"/>
      <c r="M49" s="43"/>
      <c r="N49" s="43"/>
    </row>
    <row r="50" spans="1:14" ht="15.6" x14ac:dyDescent="0.3">
      <c r="A50" s="43"/>
      <c r="B50" s="696"/>
      <c r="C50" s="4"/>
      <c r="D50" s="135" t="s">
        <v>897</v>
      </c>
      <c r="E50" s="135"/>
      <c r="F50" s="135"/>
      <c r="G50" s="742">
        <f>995*E72*POWER(G17, -0.3333)</f>
        <v>442.80101210632006</v>
      </c>
      <c r="H50" s="135" t="s">
        <v>898</v>
      </c>
      <c r="I50" s="58"/>
      <c r="J50" s="135"/>
      <c r="K50" s="728">
        <f>(E33-E34)/200*10</f>
        <v>11.483749999999997</v>
      </c>
      <c r="L50" s="697"/>
      <c r="M50" s="380">
        <v>4.0999999999999996</v>
      </c>
      <c r="N50" s="43"/>
    </row>
    <row r="51" spans="1:14" ht="15.6" x14ac:dyDescent="0.3">
      <c r="A51" s="43"/>
      <c r="B51" s="696"/>
      <c r="C51" s="4"/>
      <c r="D51" s="135" t="s">
        <v>899</v>
      </c>
      <c r="E51" s="135"/>
      <c r="F51" s="135"/>
      <c r="G51" s="727">
        <f>G50*0.8</f>
        <v>354.24080968505609</v>
      </c>
      <c r="H51" s="135" t="s">
        <v>900</v>
      </c>
      <c r="I51" s="58"/>
      <c r="J51" s="135"/>
      <c r="K51" s="728">
        <f>K50*0.8</f>
        <v>9.1869999999999976</v>
      </c>
      <c r="L51" s="697"/>
      <c r="M51" s="43"/>
      <c r="N51" s="43"/>
    </row>
    <row r="52" spans="1:14" ht="21" x14ac:dyDescent="0.4">
      <c r="A52" s="43"/>
      <c r="B52" s="696"/>
      <c r="C52" s="4"/>
      <c r="D52" s="135" t="s">
        <v>901</v>
      </c>
      <c r="E52" s="135"/>
      <c r="F52" s="135"/>
      <c r="G52" s="729">
        <f>G50*F25/F26/39.25</f>
        <v>51.012246202223523</v>
      </c>
      <c r="H52" s="1681" t="s">
        <v>902</v>
      </c>
      <c r="I52" s="1681"/>
      <c r="J52" s="1681"/>
      <c r="K52" s="1682">
        <v>4</v>
      </c>
      <c r="L52" s="697"/>
      <c r="M52" s="43"/>
      <c r="N52" s="43"/>
    </row>
    <row r="53" spans="1:14" ht="21" x14ac:dyDescent="0.4">
      <c r="A53" s="43"/>
      <c r="B53" s="696"/>
      <c r="C53" s="4"/>
      <c r="D53" s="135" t="s">
        <v>903</v>
      </c>
      <c r="E53" s="135"/>
      <c r="F53" s="135"/>
      <c r="G53" s="729">
        <f>G52*0.8</f>
        <v>40.809796961778822</v>
      </c>
      <c r="H53" s="1681"/>
      <c r="I53" s="1681"/>
      <c r="J53" s="1681"/>
      <c r="K53" s="1683"/>
      <c r="L53" s="697"/>
      <c r="M53" s="43"/>
      <c r="N53" s="43"/>
    </row>
    <row r="54" spans="1:14" x14ac:dyDescent="0.3">
      <c r="A54" s="43"/>
      <c r="B54" s="696"/>
      <c r="C54" s="4"/>
      <c r="D54" s="1666" t="s">
        <v>904</v>
      </c>
      <c r="E54" s="1667"/>
      <c r="F54" s="1668"/>
      <c r="G54" s="730">
        <f>ROUND(SQRT(E71)/50,0)*50</f>
        <v>900</v>
      </c>
      <c r="H54" s="59"/>
      <c r="I54" s="59"/>
      <c r="J54" s="59"/>
      <c r="K54" s="10"/>
      <c r="L54" s="697"/>
      <c r="M54" s="43"/>
      <c r="N54" s="43"/>
    </row>
    <row r="55" spans="1:14" x14ac:dyDescent="0.3">
      <c r="A55" s="43"/>
      <c r="B55" s="696"/>
      <c r="C55" s="4"/>
      <c r="D55" s="59"/>
      <c r="E55" s="59"/>
      <c r="F55" s="59"/>
      <c r="G55" s="59"/>
      <c r="H55" s="59"/>
      <c r="I55" s="59"/>
      <c r="J55" s="59"/>
      <c r="K55" s="10"/>
      <c r="L55" s="697"/>
      <c r="M55" s="43"/>
      <c r="N55" s="43"/>
    </row>
    <row r="56" spans="1:14" ht="15.6" x14ac:dyDescent="0.3">
      <c r="A56" s="43"/>
      <c r="B56" s="696"/>
      <c r="C56" s="702">
        <v>12</v>
      </c>
      <c r="D56" s="701" t="s">
        <v>905</v>
      </c>
      <c r="E56" s="701"/>
      <c r="F56" s="701"/>
      <c r="G56" s="701"/>
      <c r="H56" s="701"/>
      <c r="I56" s="59"/>
      <c r="J56" s="59"/>
      <c r="K56" s="10"/>
      <c r="L56" s="697"/>
      <c r="M56" s="43"/>
      <c r="N56" s="43"/>
    </row>
    <row r="57" spans="1:14" ht="15.6" x14ac:dyDescent="0.3">
      <c r="A57" s="43"/>
      <c r="B57" s="696"/>
      <c r="C57" s="698"/>
      <c r="D57" s="701" t="s">
        <v>906</v>
      </c>
      <c r="E57" s="701"/>
      <c r="F57" s="701"/>
      <c r="G57" s="701"/>
      <c r="H57" s="701"/>
      <c r="I57" s="59"/>
      <c r="J57" s="59"/>
      <c r="K57" s="10"/>
      <c r="L57" s="697"/>
      <c r="M57" s="43"/>
      <c r="N57" s="43"/>
    </row>
    <row r="58" spans="1:14" ht="15.6" x14ac:dyDescent="0.3">
      <c r="A58" s="43"/>
      <c r="B58" s="696"/>
      <c r="C58" s="698"/>
      <c r="D58" s="701" t="s">
        <v>907</v>
      </c>
      <c r="E58" s="701"/>
      <c r="F58" s="701"/>
      <c r="G58" s="701"/>
      <c r="H58" s="701"/>
      <c r="I58" s="59"/>
      <c r="J58" s="59"/>
      <c r="K58" s="10"/>
      <c r="L58" s="697"/>
      <c r="M58" s="43"/>
      <c r="N58" s="43"/>
    </row>
    <row r="59" spans="1:14" ht="15.6" x14ac:dyDescent="0.3">
      <c r="A59" s="43"/>
      <c r="B59" s="696"/>
      <c r="C59" s="698"/>
      <c r="D59" s="701"/>
      <c r="E59" s="701"/>
      <c r="F59" s="701"/>
      <c r="G59" s="701"/>
      <c r="H59" s="701"/>
      <c r="I59" s="59"/>
      <c r="J59" s="59"/>
      <c r="K59" s="10"/>
      <c r="L59" s="697"/>
      <c r="M59" s="43"/>
      <c r="N59" s="43"/>
    </row>
    <row r="60" spans="1:14" ht="15.6" x14ac:dyDescent="0.3">
      <c r="A60" s="43"/>
      <c r="B60" s="696"/>
      <c r="C60" s="698"/>
      <c r="D60" s="701"/>
      <c r="E60" s="701"/>
      <c r="F60" s="701"/>
      <c r="G60" s="701"/>
      <c r="H60" s="701"/>
      <c r="I60" s="59"/>
      <c r="J60" s="59"/>
      <c r="K60" s="10"/>
      <c r="L60" s="697"/>
      <c r="M60" s="43"/>
      <c r="N60" s="43"/>
    </row>
    <row r="61" spans="1:14" x14ac:dyDescent="0.3">
      <c r="A61" s="43"/>
      <c r="B61" s="696"/>
      <c r="C61" s="4"/>
      <c r="D61" s="59"/>
      <c r="E61" s="59"/>
      <c r="F61" s="59"/>
      <c r="G61" s="59"/>
      <c r="H61" s="59"/>
      <c r="I61" s="59"/>
      <c r="J61" s="59"/>
      <c r="K61" s="10"/>
      <c r="L61" s="697"/>
      <c r="M61" s="43"/>
      <c r="N61" s="43"/>
    </row>
    <row r="62" spans="1:14" x14ac:dyDescent="0.3">
      <c r="A62" s="43"/>
      <c r="B62" s="696"/>
      <c r="C62" s="4"/>
      <c r="D62" s="59"/>
      <c r="E62" s="59"/>
      <c r="F62" s="59"/>
      <c r="G62" s="59"/>
      <c r="H62" s="59"/>
      <c r="I62" s="59"/>
      <c r="J62" s="59"/>
      <c r="K62" s="10"/>
      <c r="L62" s="697"/>
      <c r="M62" s="43"/>
      <c r="N62" s="43"/>
    </row>
    <row r="63" spans="1:14" x14ac:dyDescent="0.3">
      <c r="A63" s="43"/>
      <c r="B63" s="696"/>
      <c r="C63" s="4"/>
      <c r="D63" s="59"/>
      <c r="E63" s="59"/>
      <c r="F63" s="59"/>
      <c r="G63" s="59"/>
      <c r="H63" s="59"/>
      <c r="I63" s="59"/>
      <c r="J63" s="59"/>
      <c r="K63" s="10"/>
      <c r="L63" s="697"/>
      <c r="M63" s="43"/>
      <c r="N63" s="43"/>
    </row>
    <row r="64" spans="1:14" ht="15.6" x14ac:dyDescent="0.3">
      <c r="A64" s="43"/>
      <c r="B64" s="696"/>
      <c r="C64" s="4"/>
      <c r="D64" s="59"/>
      <c r="E64" s="135"/>
      <c r="F64" s="135" t="s">
        <v>908</v>
      </c>
      <c r="G64" s="1688" t="s">
        <v>909</v>
      </c>
      <c r="H64" s="1688"/>
      <c r="I64" s="1689" t="s">
        <v>70</v>
      </c>
      <c r="J64" s="1690"/>
      <c r="K64" s="731" t="s">
        <v>67</v>
      </c>
      <c r="L64" s="697"/>
      <c r="M64" s="43"/>
      <c r="N64" s="43"/>
    </row>
    <row r="65" spans="1:14" ht="15.6" x14ac:dyDescent="0.3">
      <c r="A65" s="43"/>
      <c r="B65" s="696"/>
      <c r="C65" s="4"/>
      <c r="D65" s="59"/>
      <c r="E65" s="135" t="s">
        <v>910</v>
      </c>
      <c r="F65" s="135" t="s">
        <v>911</v>
      </c>
      <c r="G65" s="1691" t="s">
        <v>912</v>
      </c>
      <c r="H65" s="1691"/>
      <c r="I65" s="1689"/>
      <c r="J65" s="1690"/>
      <c r="K65" s="732">
        <f ca="1">TODAY()</f>
        <v>45428</v>
      </c>
      <c r="L65" s="697"/>
      <c r="M65" s="43"/>
      <c r="N65" s="43"/>
    </row>
    <row r="66" spans="1:14" ht="15.6" x14ac:dyDescent="0.3">
      <c r="A66" s="43"/>
      <c r="B66" s="696"/>
      <c r="C66" s="4"/>
      <c r="D66" s="59"/>
      <c r="E66" s="135" t="s">
        <v>913</v>
      </c>
      <c r="F66" s="135"/>
      <c r="G66" s="1691"/>
      <c r="H66" s="1691"/>
      <c r="I66" s="1689"/>
      <c r="J66" s="1690"/>
      <c r="K66" s="733"/>
      <c r="L66" s="697"/>
      <c r="M66" s="43"/>
      <c r="N66" s="43"/>
    </row>
    <row r="67" spans="1:14" ht="16.2" thickBot="1" x14ac:dyDescent="0.35">
      <c r="A67" s="43"/>
      <c r="B67" s="696"/>
      <c r="C67" s="19"/>
      <c r="D67" s="65"/>
      <c r="E67" s="734" t="s">
        <v>914</v>
      </c>
      <c r="F67" s="734" t="s">
        <v>915</v>
      </c>
      <c r="G67" s="1684" t="s">
        <v>916</v>
      </c>
      <c r="H67" s="1685"/>
      <c r="I67" s="1686"/>
      <c r="J67" s="1687"/>
      <c r="K67" s="735"/>
      <c r="L67" s="697"/>
      <c r="M67" s="43"/>
      <c r="N67" s="43"/>
    </row>
    <row r="68" spans="1:14" x14ac:dyDescent="0.3">
      <c r="A68" s="43"/>
      <c r="B68" s="736"/>
      <c r="C68" s="737"/>
      <c r="D68" s="737"/>
      <c r="E68" s="737"/>
      <c r="F68" s="737"/>
      <c r="G68" s="737"/>
      <c r="H68" s="737"/>
      <c r="I68" s="737"/>
      <c r="J68" s="737"/>
      <c r="K68" s="737"/>
      <c r="L68" s="738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924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917</v>
      </c>
      <c r="E71" s="43">
        <f>2*((F25/2+F26/2)*(F25/2+F26/2))</f>
        <v>806450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918</v>
      </c>
      <c r="E72" s="43">
        <f>M50</f>
        <v>4.0999999999999996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919</v>
      </c>
      <c r="E73" s="739">
        <f>ROUNDUP(F38*J39/50,0)*50</f>
        <v>1400</v>
      </c>
      <c r="F73" s="43" t="s">
        <v>920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921</v>
      </c>
      <c r="E74">
        <f>VLOOKUP(E47,Данные!A3:I22,9,FALSE())</f>
        <v>8.8800000000000008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M66"/>
  <sheetViews>
    <sheetView topLeftCell="A19" zoomScale="85" zoomScaleNormal="85" workbookViewId="0">
      <selection activeCell="S30" sqref="S30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  <col min="82" max="82" width="3" customWidth="1"/>
    <col min="85" max="85" width="12.21875" customWidth="1"/>
    <col min="86" max="86" width="10.21875" customWidth="1"/>
  </cols>
  <sheetData>
    <row r="1" spans="2:90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90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1097</v>
      </c>
      <c r="L2" s="1"/>
      <c r="M2" s="2"/>
      <c r="N2" s="2"/>
      <c r="O2" s="41" t="s">
        <v>0</v>
      </c>
      <c r="P2" s="2"/>
      <c r="Q2" s="2"/>
      <c r="R2" s="2"/>
      <c r="S2" s="2"/>
      <c r="T2" s="341" t="s">
        <v>1097</v>
      </c>
      <c r="V2" s="1"/>
      <c r="W2" s="2"/>
      <c r="X2" s="2"/>
      <c r="Y2" s="41" t="s">
        <v>0</v>
      </c>
      <c r="Z2" s="2"/>
      <c r="AA2" s="2"/>
      <c r="AB2" s="2"/>
      <c r="AC2" s="2"/>
      <c r="AD2" s="341" t="s">
        <v>1097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1097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1097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1097</v>
      </c>
      <c r="BI2" s="43"/>
    </row>
    <row r="3" spans="2:90" ht="15" thickBot="1" x14ac:dyDescent="0.35">
      <c r="B3" s="12" t="s">
        <v>2</v>
      </c>
      <c r="C3" s="59"/>
      <c r="D3" s="5"/>
      <c r="E3" s="5"/>
      <c r="F3" s="45" t="s">
        <v>1106</v>
      </c>
      <c r="G3" s="5"/>
      <c r="H3" s="59"/>
      <c r="I3" s="43" t="s">
        <v>338</v>
      </c>
      <c r="J3" s="131"/>
      <c r="L3" s="12" t="s">
        <v>2</v>
      </c>
      <c r="M3" s="59"/>
      <c r="N3" s="5"/>
      <c r="O3" s="5"/>
      <c r="P3" s="45" t="s">
        <v>412</v>
      </c>
      <c r="Q3" s="5"/>
      <c r="R3" s="59"/>
      <c r="S3" s="43"/>
      <c r="T3" s="131"/>
      <c r="V3" s="12" t="s">
        <v>2</v>
      </c>
      <c r="W3" s="59"/>
      <c r="X3" s="5"/>
      <c r="Y3" s="5"/>
      <c r="Z3" s="45" t="s">
        <v>791</v>
      </c>
      <c r="AA3" s="5"/>
      <c r="AB3" s="59"/>
      <c r="AC3" s="43"/>
      <c r="AD3" s="131"/>
      <c r="AE3" s="43"/>
      <c r="AF3" s="12" t="s">
        <v>2</v>
      </c>
      <c r="AG3" s="59"/>
      <c r="AH3" s="5"/>
      <c r="AI3" s="5"/>
      <c r="AJ3" s="45" t="s">
        <v>795</v>
      </c>
      <c r="AK3" s="5"/>
      <c r="AL3" s="59"/>
      <c r="AM3" s="43" t="s">
        <v>338</v>
      </c>
      <c r="AN3" s="131"/>
      <c r="AO3" s="43"/>
      <c r="AP3" s="12" t="s">
        <v>2</v>
      </c>
      <c r="AQ3" s="59"/>
      <c r="AR3" s="5"/>
      <c r="AS3" s="5"/>
      <c r="AT3" s="45" t="s">
        <v>832</v>
      </c>
      <c r="AU3" s="5"/>
      <c r="AV3" s="59"/>
      <c r="AW3" s="43" t="s">
        <v>338</v>
      </c>
      <c r="AX3" s="131"/>
      <c r="AY3" s="43"/>
      <c r="AZ3" s="12" t="s">
        <v>2</v>
      </c>
      <c r="BA3" s="59"/>
      <c r="BB3" s="5"/>
      <c r="BC3" s="5"/>
      <c r="BD3" s="45" t="s">
        <v>1073</v>
      </c>
      <c r="BE3" s="5"/>
      <c r="BF3" s="59"/>
      <c r="BG3" s="43" t="s">
        <v>338</v>
      </c>
      <c r="BH3" s="131" t="s">
        <v>1072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1097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1097</v>
      </c>
      <c r="CD3" s="1"/>
      <c r="CE3" s="2"/>
      <c r="CF3" s="2"/>
      <c r="CG3" s="41" t="s">
        <v>0</v>
      </c>
      <c r="CH3" s="2"/>
      <c r="CI3" s="2"/>
      <c r="CJ3" s="2"/>
      <c r="CK3" s="2"/>
      <c r="CL3" s="1430" t="s">
        <v>1097</v>
      </c>
    </row>
    <row r="4" spans="2:90" x14ac:dyDescent="0.3">
      <c r="B4" s="4" t="s">
        <v>4</v>
      </c>
      <c r="C4" s="59"/>
      <c r="D4" s="55"/>
      <c r="E4" s="55"/>
      <c r="F4" s="43" t="s">
        <v>1105</v>
      </c>
      <c r="G4" s="55"/>
      <c r="H4" s="55"/>
      <c r="I4" s="46" t="s">
        <v>1105</v>
      </c>
      <c r="J4" s="10"/>
      <c r="L4" s="4" t="s">
        <v>4</v>
      </c>
      <c r="M4" s="59"/>
      <c r="N4" s="55"/>
      <c r="O4" s="55"/>
      <c r="P4" s="43" t="s">
        <v>420</v>
      </c>
      <c r="Q4" s="55"/>
      <c r="R4" s="55"/>
      <c r="S4" s="46"/>
      <c r="T4" s="10"/>
      <c r="V4" s="4" t="s">
        <v>4</v>
      </c>
      <c r="W4" s="59"/>
      <c r="X4" s="55"/>
      <c r="Y4" s="55"/>
      <c r="Z4" s="438" t="s">
        <v>792</v>
      </c>
      <c r="AA4" s="55"/>
      <c r="AB4" s="55"/>
      <c r="AC4" s="46"/>
      <c r="AD4" s="10"/>
      <c r="AE4" s="43"/>
      <c r="AF4" s="4" t="s">
        <v>4</v>
      </c>
      <c r="AG4" s="59"/>
      <c r="AH4" s="55"/>
      <c r="AI4" s="55"/>
      <c r="AJ4" s="43" t="s">
        <v>796</v>
      </c>
      <c r="AK4" s="55"/>
      <c r="AL4" s="55"/>
      <c r="AM4" s="46" t="s">
        <v>796</v>
      </c>
      <c r="AN4" s="10"/>
      <c r="AO4" s="43"/>
      <c r="AP4" s="4" t="s">
        <v>4</v>
      </c>
      <c r="AQ4" s="59"/>
      <c r="AR4" s="55"/>
      <c r="AS4" s="55"/>
      <c r="AT4" s="43" t="s">
        <v>362</v>
      </c>
      <c r="AU4" s="55"/>
      <c r="AV4" s="55"/>
      <c r="AW4" s="46" t="s">
        <v>362</v>
      </c>
      <c r="AX4" s="10"/>
      <c r="AY4" s="43"/>
      <c r="AZ4" s="4" t="s">
        <v>4</v>
      </c>
      <c r="BA4" s="59"/>
      <c r="BB4" s="55"/>
      <c r="BC4" s="55"/>
      <c r="BD4" s="43" t="s">
        <v>1068</v>
      </c>
      <c r="BE4" s="55"/>
      <c r="BF4" s="55"/>
      <c r="BG4" s="46"/>
      <c r="BH4" s="10"/>
      <c r="BI4" s="43"/>
      <c r="BJ4" s="12" t="s">
        <v>2</v>
      </c>
      <c r="BK4" s="59"/>
      <c r="BL4" s="5"/>
      <c r="BM4" s="5"/>
      <c r="BN4" s="45" t="s">
        <v>336</v>
      </c>
      <c r="BO4" s="5"/>
      <c r="BP4" s="59"/>
      <c r="BQ4" t="s">
        <v>338</v>
      </c>
      <c r="BR4" s="131"/>
      <c r="BT4" s="12" t="s">
        <v>2</v>
      </c>
      <c r="BU4" s="59"/>
      <c r="BV4" s="5"/>
      <c r="BW4" s="5"/>
      <c r="BX4" s="45" t="s">
        <v>360</v>
      </c>
      <c r="BY4" s="5"/>
      <c r="BZ4" s="59"/>
      <c r="CA4" s="43" t="s">
        <v>338</v>
      </c>
      <c r="CB4" s="131"/>
      <c r="CD4" s="12" t="s">
        <v>2</v>
      </c>
      <c r="CE4" s="59"/>
      <c r="CF4" s="5"/>
      <c r="CG4" s="5"/>
      <c r="CH4" s="1446" t="s">
        <v>1214</v>
      </c>
      <c r="CI4" s="5"/>
      <c r="CJ4" s="59"/>
      <c r="CK4" s="43"/>
      <c r="CL4" s="131"/>
    </row>
    <row r="5" spans="2:90" x14ac:dyDescent="0.3">
      <c r="B5" s="4" t="s">
        <v>6</v>
      </c>
      <c r="C5" s="59"/>
      <c r="D5" s="55"/>
      <c r="E5" s="55"/>
      <c r="F5" s="14" t="s">
        <v>314</v>
      </c>
      <c r="G5" s="55"/>
      <c r="H5" s="55"/>
      <c r="I5" s="55"/>
      <c r="J5" s="10"/>
      <c r="L5" s="4" t="s">
        <v>6</v>
      </c>
      <c r="M5" s="59"/>
      <c r="N5" s="55"/>
      <c r="O5" s="55"/>
      <c r="P5" s="14" t="s">
        <v>413</v>
      </c>
      <c r="Q5" s="55"/>
      <c r="R5" s="55"/>
      <c r="S5" s="55"/>
      <c r="T5" s="10"/>
      <c r="V5" s="4" t="s">
        <v>6</v>
      </c>
      <c r="W5" s="59"/>
      <c r="X5" s="55"/>
      <c r="Y5" s="55"/>
      <c r="Z5" s="14" t="s">
        <v>793</v>
      </c>
      <c r="AA5" s="55"/>
      <c r="AB5" s="55"/>
      <c r="AC5" s="55"/>
      <c r="AD5" s="10"/>
      <c r="AE5" s="43"/>
      <c r="AF5" s="4" t="s">
        <v>6</v>
      </c>
      <c r="AG5" s="59"/>
      <c r="AH5" s="55"/>
      <c r="AI5" s="55"/>
      <c r="AJ5" s="14" t="s">
        <v>314</v>
      </c>
      <c r="AK5" s="55"/>
      <c r="AL5" s="55"/>
      <c r="AM5" s="55"/>
      <c r="AN5" s="10"/>
      <c r="AO5" s="43"/>
      <c r="AP5" s="4" t="s">
        <v>6</v>
      </c>
      <c r="AQ5" s="59"/>
      <c r="AR5" s="55"/>
      <c r="AS5" s="55"/>
      <c r="AT5" s="14" t="s">
        <v>314</v>
      </c>
      <c r="AU5" s="55"/>
      <c r="AV5" s="55"/>
      <c r="AW5" s="55"/>
      <c r="AX5" s="10"/>
      <c r="AY5" s="43"/>
      <c r="AZ5" s="4" t="s">
        <v>6</v>
      </c>
      <c r="BA5" s="59"/>
      <c r="BB5" s="55"/>
      <c r="BC5" s="55"/>
      <c r="BD5" s="14" t="s">
        <v>7</v>
      </c>
      <c r="BE5" s="55"/>
      <c r="BF5" s="55"/>
      <c r="BG5" s="55"/>
      <c r="BH5" s="10"/>
      <c r="BI5" s="43"/>
      <c r="BJ5" s="4" t="s">
        <v>4</v>
      </c>
      <c r="BK5" s="59"/>
      <c r="BL5" s="55"/>
      <c r="BM5" s="55"/>
      <c r="BN5" t="s">
        <v>337</v>
      </c>
      <c r="BO5" s="55"/>
      <c r="BP5" s="55"/>
      <c r="BQ5" s="46" t="s">
        <v>335</v>
      </c>
      <c r="BR5" s="10"/>
      <c r="BT5" s="4" t="s">
        <v>4</v>
      </c>
      <c r="BU5" s="59"/>
      <c r="BV5" s="55"/>
      <c r="BW5" s="55"/>
      <c r="BX5" s="43" t="s">
        <v>361</v>
      </c>
      <c r="BY5" s="55"/>
      <c r="BZ5" s="55"/>
      <c r="CA5" s="46" t="s">
        <v>362</v>
      </c>
      <c r="CB5" s="10"/>
      <c r="CD5" s="4" t="s">
        <v>4</v>
      </c>
      <c r="CE5" s="59"/>
      <c r="CF5" s="55"/>
      <c r="CG5" s="55"/>
      <c r="CH5" s="429">
        <v>1472464</v>
      </c>
      <c r="CI5" s="55"/>
      <c r="CJ5" s="55"/>
      <c r="CK5" s="46"/>
      <c r="CL5" s="10"/>
    </row>
    <row r="6" spans="2:90" ht="15" thickBot="1" x14ac:dyDescent="0.35">
      <c r="B6" s="19" t="s">
        <v>10</v>
      </c>
      <c r="C6" s="65"/>
      <c r="D6" s="20"/>
      <c r="E6" s="20"/>
      <c r="F6" s="21">
        <v>2</v>
      </c>
      <c r="G6" s="20"/>
      <c r="H6" s="20"/>
      <c r="I6" s="20"/>
      <c r="J6" s="40"/>
      <c r="L6" s="19" t="s">
        <v>10</v>
      </c>
      <c r="M6" s="65"/>
      <c r="N6" s="20"/>
      <c r="O6" s="20"/>
      <c r="P6" s="21">
        <v>3</v>
      </c>
      <c r="Q6" s="20"/>
      <c r="R6" s="20"/>
      <c r="S6" s="20"/>
      <c r="T6" s="40"/>
      <c r="V6" s="19" t="s">
        <v>10</v>
      </c>
      <c r="W6" s="65"/>
      <c r="X6" s="20"/>
      <c r="Y6" s="20"/>
      <c r="Z6" s="21">
        <v>20</v>
      </c>
      <c r="AA6" s="20"/>
      <c r="AB6" s="20"/>
      <c r="AC6" s="20"/>
      <c r="AD6" s="40"/>
      <c r="AE6" s="43"/>
      <c r="AF6" s="19" t="s">
        <v>10</v>
      </c>
      <c r="AG6" s="65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10</v>
      </c>
      <c r="AQ6" s="65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10</v>
      </c>
      <c r="BA6" s="65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6</v>
      </c>
      <c r="BK6" s="59"/>
      <c r="BL6" s="55"/>
      <c r="BM6" s="55"/>
      <c r="BN6" s="14" t="s">
        <v>334</v>
      </c>
      <c r="BO6" s="55"/>
      <c r="BP6" s="55"/>
      <c r="BQ6" s="55"/>
      <c r="BR6" s="10"/>
      <c r="BT6" s="4" t="s">
        <v>6</v>
      </c>
      <c r="BU6" s="59"/>
      <c r="BV6" s="55"/>
      <c r="BW6" s="55"/>
      <c r="BX6" s="14" t="s">
        <v>314</v>
      </c>
      <c r="BY6" s="55"/>
      <c r="BZ6" s="55"/>
      <c r="CA6" s="55"/>
      <c r="CB6" s="10"/>
      <c r="CD6" s="4" t="s">
        <v>6</v>
      </c>
      <c r="CE6" s="59"/>
      <c r="CF6" s="55"/>
      <c r="CG6" s="55"/>
      <c r="CH6" s="54" t="s">
        <v>1215</v>
      </c>
      <c r="CI6" s="55"/>
      <c r="CJ6" s="55"/>
      <c r="CK6" s="55"/>
      <c r="CL6" s="10"/>
    </row>
    <row r="7" spans="2:90" ht="15" thickBot="1" x14ac:dyDescent="0.35">
      <c r="B7" s="4" t="s">
        <v>16</v>
      </c>
      <c r="C7" s="55"/>
      <c r="D7" s="55"/>
      <c r="E7" s="55"/>
      <c r="F7" s="48" t="s">
        <v>9</v>
      </c>
      <c r="G7" s="55"/>
      <c r="H7" s="59"/>
      <c r="I7" s="55" t="s">
        <v>17</v>
      </c>
      <c r="J7" s="15">
        <f>F8/F9</f>
        <v>0.41976149914821126</v>
      </c>
      <c r="L7" s="4" t="s">
        <v>16</v>
      </c>
      <c r="M7" s="55"/>
      <c r="N7" s="55"/>
      <c r="O7" s="55"/>
      <c r="P7" s="48" t="s">
        <v>15</v>
      </c>
      <c r="Q7" s="55"/>
      <c r="R7" s="59"/>
      <c r="S7" s="55" t="s">
        <v>17</v>
      </c>
      <c r="T7" s="15">
        <f>P8/P9</f>
        <v>0.72967032967032963</v>
      </c>
      <c r="V7" s="4" t="s">
        <v>16</v>
      </c>
      <c r="W7" s="55"/>
      <c r="X7" s="55"/>
      <c r="Y7" s="55"/>
      <c r="Z7" s="48" t="s">
        <v>794</v>
      </c>
      <c r="AA7" s="55"/>
      <c r="AB7" s="59"/>
      <c r="AC7" s="55" t="s">
        <v>17</v>
      </c>
      <c r="AD7" s="15">
        <f>Z8/Z9</f>
        <v>0.90625</v>
      </c>
      <c r="AE7" s="43"/>
      <c r="AF7" s="4" t="s">
        <v>16</v>
      </c>
      <c r="AG7" s="55"/>
      <c r="AH7" s="55"/>
      <c r="AI7" s="55"/>
      <c r="AJ7" s="48" t="s">
        <v>9</v>
      </c>
      <c r="AK7" s="55"/>
      <c r="AL7" s="59"/>
      <c r="AM7" s="55" t="s">
        <v>17</v>
      </c>
      <c r="AN7" s="15">
        <f>AJ8/AJ9</f>
        <v>0.27647058823529413</v>
      </c>
      <c r="AO7" s="43"/>
      <c r="AP7" s="4" t="s">
        <v>16</v>
      </c>
      <c r="AQ7" s="55"/>
      <c r="AR7" s="55"/>
      <c r="AS7" s="55"/>
      <c r="AT7" s="575" t="s">
        <v>9</v>
      </c>
      <c r="AU7" s="55"/>
      <c r="AV7" s="59"/>
      <c r="AW7" s="55" t="s">
        <v>17</v>
      </c>
      <c r="AX7" s="15">
        <f>AT8/AT9</f>
        <v>0.43333333333333335</v>
      </c>
      <c r="AY7" s="43"/>
      <c r="AZ7" s="12" t="s">
        <v>16</v>
      </c>
      <c r="BA7" s="5"/>
      <c r="BB7" s="5"/>
      <c r="BC7" s="5"/>
      <c r="BD7" s="1108" t="s">
        <v>28</v>
      </c>
      <c r="BE7" s="5"/>
      <c r="BF7" s="71"/>
      <c r="BG7" s="5" t="s">
        <v>17</v>
      </c>
      <c r="BH7" s="185">
        <f>BD8/BD9</f>
        <v>0.53366058906030855</v>
      </c>
      <c r="BI7" s="43"/>
      <c r="BJ7" s="19" t="s">
        <v>10</v>
      </c>
      <c r="BK7" s="65"/>
      <c r="BL7" s="20"/>
      <c r="BM7" s="20"/>
      <c r="BN7" s="21">
        <v>4</v>
      </c>
      <c r="BO7" s="20"/>
      <c r="BP7" s="20"/>
      <c r="BQ7" s="20"/>
      <c r="BR7" s="40"/>
      <c r="BT7" s="19" t="s">
        <v>10</v>
      </c>
      <c r="BU7" s="65"/>
      <c r="BV7" s="20"/>
      <c r="BW7" s="20"/>
      <c r="BX7" s="21">
        <v>1</v>
      </c>
      <c r="BY7" s="20"/>
      <c r="BZ7" s="20"/>
      <c r="CA7" s="20"/>
      <c r="CB7" s="40"/>
      <c r="CD7" s="19" t="s">
        <v>10</v>
      </c>
      <c r="CE7" s="65"/>
      <c r="CF7" s="20"/>
      <c r="CG7" s="20"/>
      <c r="CH7" s="352">
        <v>12</v>
      </c>
      <c r="CI7" s="20"/>
      <c r="CJ7" s="20"/>
      <c r="CK7" s="20"/>
      <c r="CL7" s="40"/>
    </row>
    <row r="8" spans="2:90" x14ac:dyDescent="0.3">
      <c r="B8" s="4" t="s">
        <v>19</v>
      </c>
      <c r="C8" s="55"/>
      <c r="D8" s="55"/>
      <c r="E8" s="55"/>
      <c r="F8" s="140">
        <v>1232</v>
      </c>
      <c r="G8" s="55"/>
      <c r="H8" s="59"/>
      <c r="I8" s="55" t="s">
        <v>23</v>
      </c>
      <c r="J8" s="15">
        <f>F8/F13</f>
        <v>0.38024691358024693</v>
      </c>
      <c r="L8" s="4" t="s">
        <v>19</v>
      </c>
      <c r="M8" s="55"/>
      <c r="N8" s="55"/>
      <c r="O8" s="55"/>
      <c r="P8" s="140">
        <v>332</v>
      </c>
      <c r="Q8" s="55"/>
      <c r="R8" s="59"/>
      <c r="S8" s="55" t="s">
        <v>23</v>
      </c>
      <c r="T8" s="15">
        <f>P8/P13</f>
        <v>0.38425925925925924</v>
      </c>
      <c r="V8" s="4" t="s">
        <v>19</v>
      </c>
      <c r="W8" s="55"/>
      <c r="X8" s="55"/>
      <c r="Y8" s="55"/>
      <c r="Z8" s="140">
        <v>145</v>
      </c>
      <c r="AA8" s="55"/>
      <c r="AB8" s="59"/>
      <c r="AC8" s="55" t="s">
        <v>23</v>
      </c>
      <c r="AD8" s="15">
        <f>Z8/Z11</f>
        <v>0.86826347305389218</v>
      </c>
      <c r="AE8" s="43"/>
      <c r="AF8" s="4" t="s">
        <v>19</v>
      </c>
      <c r="AG8" s="55"/>
      <c r="AH8" s="55"/>
      <c r="AI8" s="55"/>
      <c r="AJ8" s="140">
        <v>235</v>
      </c>
      <c r="AK8" s="55"/>
      <c r="AL8" s="59"/>
      <c r="AM8" s="55" t="s">
        <v>23</v>
      </c>
      <c r="AN8" s="15">
        <f>AJ8/AJ13</f>
        <v>0.23906408952187183</v>
      </c>
      <c r="AO8" s="43"/>
      <c r="AP8" s="4" t="s">
        <v>19</v>
      </c>
      <c r="AQ8" s="55"/>
      <c r="AR8" s="55"/>
      <c r="AS8" s="55"/>
      <c r="AT8" s="140">
        <v>260</v>
      </c>
      <c r="AU8" s="55"/>
      <c r="AV8" s="59"/>
      <c r="AW8" s="55" t="s">
        <v>23</v>
      </c>
      <c r="AX8" s="15">
        <f>AT8/AT13</f>
        <v>0.35961272475795297</v>
      </c>
      <c r="AY8" s="43"/>
      <c r="AZ8" s="4" t="s">
        <v>19</v>
      </c>
      <c r="BA8" s="55"/>
      <c r="BB8" s="55"/>
      <c r="BC8" s="55"/>
      <c r="BD8" s="140">
        <v>761</v>
      </c>
      <c r="BE8" s="55"/>
      <c r="BF8" s="59"/>
      <c r="BG8" s="55" t="s">
        <v>23</v>
      </c>
      <c r="BH8" s="15">
        <f>BD8/BD13</f>
        <v>0.41928374655647382</v>
      </c>
      <c r="BI8" s="43"/>
      <c r="BJ8" s="4" t="s">
        <v>16</v>
      </c>
      <c r="BK8" s="55"/>
      <c r="BL8" s="55"/>
      <c r="BM8" s="55"/>
      <c r="BN8" s="48" t="s">
        <v>9</v>
      </c>
      <c r="BO8" s="55"/>
      <c r="BP8" s="59"/>
      <c r="BQ8" s="55" t="s">
        <v>17</v>
      </c>
      <c r="BR8" s="15">
        <f>BN9/BN10</f>
        <v>0.4</v>
      </c>
      <c r="BT8" s="4" t="s">
        <v>16</v>
      </c>
      <c r="BU8" s="55"/>
      <c r="BV8" s="55"/>
      <c r="BW8" s="55"/>
      <c r="BX8" s="48" t="s">
        <v>28</v>
      </c>
      <c r="BY8" s="55"/>
      <c r="BZ8" s="59"/>
      <c r="CA8" s="55" t="s">
        <v>17</v>
      </c>
      <c r="CB8" s="15">
        <f>BX9/BX10</f>
        <v>0.32786885245901637</v>
      </c>
      <c r="CD8" s="4" t="s">
        <v>16</v>
      </c>
      <c r="CE8" s="55"/>
      <c r="CF8" s="55"/>
      <c r="CG8" s="55"/>
      <c r="CH8" s="575" t="s">
        <v>42</v>
      </c>
      <c r="CI8" s="55"/>
      <c r="CJ8" s="59"/>
      <c r="CK8" s="55" t="s">
        <v>17</v>
      </c>
      <c r="CL8" s="15">
        <f>CH9/CH10</f>
        <v>0.93627450980392168</v>
      </c>
    </row>
    <row r="9" spans="2:90" x14ac:dyDescent="0.3">
      <c r="B9" s="4" t="s">
        <v>22</v>
      </c>
      <c r="C9" s="55"/>
      <c r="D9" s="55"/>
      <c r="E9" s="55"/>
      <c r="F9" s="140">
        <v>2935</v>
      </c>
      <c r="G9" s="9" t="s">
        <v>340</v>
      </c>
      <c r="H9" s="55"/>
      <c r="I9" s="55"/>
      <c r="J9" s="18"/>
      <c r="L9" s="4" t="s">
        <v>22</v>
      </c>
      <c r="M9" s="55"/>
      <c r="N9" s="55"/>
      <c r="O9" s="55"/>
      <c r="P9" s="140">
        <v>455</v>
      </c>
      <c r="Q9" s="9"/>
      <c r="R9" s="55"/>
      <c r="S9" s="55"/>
      <c r="T9" s="18"/>
      <c r="V9" s="4" t="s">
        <v>22</v>
      </c>
      <c r="W9" s="55"/>
      <c r="X9" s="55"/>
      <c r="Y9" s="55"/>
      <c r="Z9" s="140">
        <v>160</v>
      </c>
      <c r="AA9" s="9"/>
      <c r="AB9" s="55"/>
      <c r="AC9" s="55"/>
      <c r="AD9" s="18"/>
      <c r="AE9" s="43"/>
      <c r="AF9" s="4" t="s">
        <v>22</v>
      </c>
      <c r="AG9" s="55"/>
      <c r="AH9" s="55"/>
      <c r="AI9" s="55"/>
      <c r="AJ9" s="140">
        <v>850</v>
      </c>
      <c r="AK9" s="9" t="s">
        <v>340</v>
      </c>
      <c r="AL9" s="55"/>
      <c r="AM9" s="55"/>
      <c r="AN9" s="18"/>
      <c r="AO9" s="43"/>
      <c r="AP9" s="4" t="s">
        <v>22</v>
      </c>
      <c r="AQ9" s="55"/>
      <c r="AR9" s="55"/>
      <c r="AS9" s="55"/>
      <c r="AT9" s="140">
        <v>600</v>
      </c>
      <c r="AU9" s="9" t="s">
        <v>340</v>
      </c>
      <c r="AV9" s="55"/>
      <c r="AW9" s="55"/>
      <c r="AX9" s="18"/>
      <c r="AY9" s="43"/>
      <c r="AZ9" s="4" t="s">
        <v>22</v>
      </c>
      <c r="BA9" s="55"/>
      <c r="BB9" s="55"/>
      <c r="BC9" s="55"/>
      <c r="BD9" s="140">
        <v>1426</v>
      </c>
      <c r="BE9" s="9"/>
      <c r="BF9" s="55"/>
      <c r="BG9" s="55"/>
      <c r="BH9" s="18"/>
      <c r="BI9" s="43"/>
      <c r="BJ9" s="4" t="s">
        <v>19</v>
      </c>
      <c r="BK9" s="55"/>
      <c r="BL9" s="55"/>
      <c r="BM9" s="55"/>
      <c r="BN9" s="140">
        <v>82</v>
      </c>
      <c r="BO9" s="55"/>
      <c r="BP9" s="59"/>
      <c r="BQ9" s="55" t="s">
        <v>23</v>
      </c>
      <c r="BR9" s="15">
        <f>BN9/BN14</f>
        <v>0.3203125</v>
      </c>
      <c r="BT9" s="4" t="s">
        <v>19</v>
      </c>
      <c r="BU9" s="55"/>
      <c r="BV9" s="55"/>
      <c r="BW9" s="55"/>
      <c r="BX9" s="140">
        <v>200</v>
      </c>
      <c r="BY9" s="55"/>
      <c r="BZ9" s="59"/>
      <c r="CA9" s="55" t="s">
        <v>23</v>
      </c>
      <c r="CB9" s="15">
        <f>BX9/BX14</f>
        <v>0.28050490883590462</v>
      </c>
      <c r="CD9" s="4" t="s">
        <v>19</v>
      </c>
      <c r="CE9" s="55"/>
      <c r="CF9" s="55"/>
      <c r="CG9" s="55"/>
      <c r="CH9" s="140">
        <v>76.400000000000006</v>
      </c>
      <c r="CI9" s="55"/>
      <c r="CJ9" s="59"/>
      <c r="CK9" s="55" t="s">
        <v>23</v>
      </c>
      <c r="CL9" s="15">
        <f>CH9/CH12</f>
        <v>0.7717171717171718</v>
      </c>
    </row>
    <row r="10" spans="2:90" s="43" customFormat="1" x14ac:dyDescent="0.3">
      <c r="B10" s="4" t="s">
        <v>24</v>
      </c>
      <c r="C10" s="55"/>
      <c r="D10" s="55"/>
      <c r="E10" s="55"/>
      <c r="F10" s="140">
        <v>920</v>
      </c>
      <c r="G10" s="55"/>
      <c r="H10" s="55"/>
      <c r="I10" s="55"/>
      <c r="J10" s="18"/>
      <c r="L10" s="4" t="s">
        <v>24</v>
      </c>
      <c r="M10" s="55"/>
      <c r="N10" s="55"/>
      <c r="O10" s="55"/>
      <c r="P10" s="140">
        <v>294</v>
      </c>
      <c r="Q10" s="55"/>
      <c r="R10" s="55"/>
      <c r="S10" s="55"/>
      <c r="T10" s="18"/>
      <c r="V10" s="4" t="s">
        <v>27</v>
      </c>
      <c r="W10" s="55"/>
      <c r="X10" s="55"/>
      <c r="Y10" s="55"/>
      <c r="Z10" s="140">
        <v>160</v>
      </c>
      <c r="AA10" s="55"/>
      <c r="AB10" s="55"/>
      <c r="AC10" s="55"/>
      <c r="AD10" s="18"/>
      <c r="AF10" s="4" t="s">
        <v>24</v>
      </c>
      <c r="AG10" s="55"/>
      <c r="AH10" s="55"/>
      <c r="AI10" s="55"/>
      <c r="AJ10" s="140">
        <v>510</v>
      </c>
      <c r="AK10" s="55"/>
      <c r="AL10" s="55"/>
      <c r="AM10" s="55"/>
      <c r="AN10" s="18"/>
      <c r="AP10" s="4" t="s">
        <v>24</v>
      </c>
      <c r="AQ10" s="55"/>
      <c r="AR10" s="55"/>
      <c r="AS10" s="55"/>
      <c r="AT10" s="140">
        <v>140</v>
      </c>
      <c r="AU10" s="55"/>
      <c r="AV10" s="55"/>
      <c r="AW10" s="55"/>
      <c r="AX10" s="18"/>
      <c r="AZ10" s="4" t="s">
        <v>24</v>
      </c>
      <c r="BA10" s="55"/>
      <c r="BB10" s="55"/>
      <c r="BC10" s="55"/>
      <c r="BD10" s="140">
        <v>245</v>
      </c>
      <c r="BE10" s="55"/>
      <c r="BF10" s="55"/>
      <c r="BG10" s="55"/>
      <c r="BH10" s="18"/>
      <c r="BJ10" s="4" t="s">
        <v>22</v>
      </c>
      <c r="BK10" s="55"/>
      <c r="BL10" s="55"/>
      <c r="BM10" s="55"/>
      <c r="BN10" s="140">
        <v>205</v>
      </c>
      <c r="BO10" s="9" t="s">
        <v>340</v>
      </c>
      <c r="BP10" s="55"/>
      <c r="BQ10" s="55"/>
      <c r="BR10" s="18"/>
      <c r="BS10"/>
      <c r="BT10" s="4" t="s">
        <v>22</v>
      </c>
      <c r="BU10" s="55"/>
      <c r="BV10" s="55"/>
      <c r="BW10" s="55"/>
      <c r="BX10" s="140">
        <v>610</v>
      </c>
      <c r="BY10" s="9" t="s">
        <v>340</v>
      </c>
      <c r="BZ10" s="55"/>
      <c r="CA10" s="55"/>
      <c r="CB10" s="18"/>
      <c r="CC10"/>
      <c r="CD10" s="4" t="s">
        <v>22</v>
      </c>
      <c r="CE10" s="55"/>
      <c r="CF10" s="55"/>
      <c r="CG10" s="55"/>
      <c r="CH10" s="140">
        <v>81.599999999999994</v>
      </c>
      <c r="CI10" s="9"/>
      <c r="CJ10" s="55"/>
      <c r="CK10" s="55"/>
      <c r="CL10" s="18"/>
    </row>
    <row r="11" spans="2:90" s="43" customFormat="1" ht="15" thickBot="1" x14ac:dyDescent="0.35">
      <c r="B11" s="4" t="s">
        <v>339</v>
      </c>
      <c r="C11" s="55"/>
      <c r="D11" s="55"/>
      <c r="E11" s="55"/>
      <c r="F11" s="140">
        <v>180</v>
      </c>
      <c r="G11" s="55"/>
      <c r="H11" s="55"/>
      <c r="I11" s="55"/>
      <c r="J11" s="18"/>
      <c r="L11" s="4" t="s">
        <v>339</v>
      </c>
      <c r="M11" s="55"/>
      <c r="N11" s="55"/>
      <c r="O11" s="55"/>
      <c r="P11" s="140">
        <v>81</v>
      </c>
      <c r="Q11" s="55"/>
      <c r="R11" s="55"/>
      <c r="S11" s="55"/>
      <c r="T11" s="18"/>
      <c r="V11" s="19" t="s">
        <v>32</v>
      </c>
      <c r="W11" s="20"/>
      <c r="X11" s="20"/>
      <c r="Y11" s="20"/>
      <c r="Z11" s="141">
        <f>ROUNDUP(Z10*1.04,0)</f>
        <v>167</v>
      </c>
      <c r="AA11" s="20"/>
      <c r="AB11" s="20"/>
      <c r="AC11" s="20"/>
      <c r="AD11" s="22"/>
      <c r="AF11" s="4" t="s">
        <v>339</v>
      </c>
      <c r="AG11" s="55"/>
      <c r="AH11" s="55"/>
      <c r="AI11" s="55"/>
      <c r="AJ11" s="140">
        <v>95</v>
      </c>
      <c r="AK11" s="55"/>
      <c r="AL11" s="55"/>
      <c r="AM11" s="55"/>
      <c r="AN11" s="18"/>
      <c r="AP11" s="4" t="s">
        <v>339</v>
      </c>
      <c r="AQ11" s="55"/>
      <c r="AR11" s="55"/>
      <c r="AS11" s="55"/>
      <c r="AT11" s="140">
        <v>95</v>
      </c>
      <c r="AU11" s="55"/>
      <c r="AV11" s="55"/>
      <c r="AW11" s="55"/>
      <c r="AX11" s="18"/>
      <c r="AZ11" s="4" t="s">
        <v>339</v>
      </c>
      <c r="BA11" s="55"/>
      <c r="BB11" s="55"/>
      <c r="BC11" s="55"/>
      <c r="BD11" s="140">
        <v>74</v>
      </c>
      <c r="BE11" s="55"/>
      <c r="BF11" s="55"/>
      <c r="BG11" s="55"/>
      <c r="BH11" s="18"/>
      <c r="BJ11" s="4" t="s">
        <v>24</v>
      </c>
      <c r="BK11" s="55"/>
      <c r="BL11" s="55"/>
      <c r="BM11" s="55"/>
      <c r="BN11" s="140">
        <v>31</v>
      </c>
      <c r="BO11" s="55"/>
      <c r="BP11" s="55"/>
      <c r="BQ11" s="55"/>
      <c r="BR11" s="18"/>
      <c r="BT11" s="4" t="s">
        <v>24</v>
      </c>
      <c r="BU11" s="55"/>
      <c r="BV11" s="55"/>
      <c r="BW11" s="55"/>
      <c r="BX11" s="140">
        <v>172</v>
      </c>
      <c r="BY11" s="55"/>
      <c r="BZ11" s="55"/>
      <c r="CA11" s="55"/>
      <c r="CB11" s="18"/>
      <c r="CD11" s="4" t="s">
        <v>27</v>
      </c>
      <c r="CE11" s="55"/>
      <c r="CF11" s="55"/>
      <c r="CG11" s="55"/>
      <c r="CH11" s="140">
        <v>94.5</v>
      </c>
      <c r="CI11" s="55"/>
      <c r="CJ11" s="55"/>
      <c r="CK11" s="55"/>
      <c r="CL11" s="18"/>
    </row>
    <row r="12" spans="2:90" ht="15" thickBot="1" x14ac:dyDescent="0.35">
      <c r="B12" s="4" t="s">
        <v>27</v>
      </c>
      <c r="C12" s="55"/>
      <c r="D12" s="55"/>
      <c r="E12" s="55"/>
      <c r="F12" s="140">
        <f>F9+F11</f>
        <v>3115</v>
      </c>
      <c r="G12" s="55"/>
      <c r="H12" s="55" t="s">
        <v>1114</v>
      </c>
      <c r="I12" s="55"/>
      <c r="J12" s="18"/>
      <c r="L12" s="4" t="s">
        <v>27</v>
      </c>
      <c r="M12" s="55"/>
      <c r="N12" s="55"/>
      <c r="O12" s="55"/>
      <c r="P12" s="140">
        <v>830</v>
      </c>
      <c r="Q12" s="55"/>
      <c r="R12" s="55"/>
      <c r="S12" s="55"/>
      <c r="T12" s="18"/>
      <c r="V12" s="12"/>
      <c r="W12" s="5"/>
      <c r="X12" s="159"/>
      <c r="Y12" s="45"/>
      <c r="Z12" s="160"/>
      <c r="AA12" s="5"/>
      <c r="AB12" s="5"/>
      <c r="AC12" s="161"/>
      <c r="AD12" s="162"/>
      <c r="AE12" s="43"/>
      <c r="AF12" s="4" t="s">
        <v>27</v>
      </c>
      <c r="AG12" s="55"/>
      <c r="AH12" s="55"/>
      <c r="AI12" s="55"/>
      <c r="AJ12" s="140">
        <f>AJ9+AJ11</f>
        <v>945</v>
      </c>
      <c r="AK12" s="55"/>
      <c r="AL12" s="55"/>
      <c r="AM12" s="55"/>
      <c r="AN12" s="18"/>
      <c r="AO12" s="43"/>
      <c r="AP12" s="4" t="s">
        <v>27</v>
      </c>
      <c r="AQ12" s="55"/>
      <c r="AR12" s="55"/>
      <c r="AS12" s="55"/>
      <c r="AT12" s="140">
        <f>AT9+AT11</f>
        <v>695</v>
      </c>
      <c r="AU12" s="55"/>
      <c r="AV12" s="55"/>
      <c r="AW12" s="55"/>
      <c r="AX12" s="18"/>
      <c r="AY12" s="43"/>
      <c r="AZ12" s="4" t="s">
        <v>27</v>
      </c>
      <c r="BA12" s="55"/>
      <c r="BB12" s="55"/>
      <c r="BC12" s="55"/>
      <c r="BD12" s="140">
        <f>BD9+BD11+BD10</f>
        <v>1745</v>
      </c>
      <c r="BE12" s="55"/>
      <c r="BF12" s="55"/>
      <c r="BG12" s="55"/>
      <c r="BH12" s="18"/>
      <c r="BI12" s="43"/>
      <c r="BJ12" s="4" t="s">
        <v>339</v>
      </c>
      <c r="BK12" s="55"/>
      <c r="BL12" s="55"/>
      <c r="BM12" s="55"/>
      <c r="BN12" s="140">
        <v>10</v>
      </c>
      <c r="BO12" s="55"/>
      <c r="BP12" s="55"/>
      <c r="BQ12" s="55"/>
      <c r="BR12" s="18"/>
      <c r="BS12" s="43"/>
      <c r="BT12" s="4" t="s">
        <v>339</v>
      </c>
      <c r="BU12" s="55"/>
      <c r="BV12" s="55"/>
      <c r="BW12" s="55"/>
      <c r="BX12" s="140">
        <v>75</v>
      </c>
      <c r="BY12" s="55"/>
      <c r="BZ12" s="55"/>
      <c r="CA12" s="55"/>
      <c r="CB12" s="18"/>
      <c r="CC12" s="43"/>
      <c r="CD12" s="19" t="s">
        <v>32</v>
      </c>
      <c r="CE12" s="20"/>
      <c r="CF12" s="20"/>
      <c r="CG12" s="20"/>
      <c r="CH12" s="141">
        <f>ROUNDUP(CH11*1.04,0)</f>
        <v>99</v>
      </c>
      <c r="CI12" s="20"/>
      <c r="CJ12" s="20"/>
      <c r="CK12" s="20"/>
      <c r="CL12" s="1431"/>
    </row>
    <row r="13" spans="2:90" ht="15" thickBot="1" x14ac:dyDescent="0.35">
      <c r="B13" s="19" t="s">
        <v>32</v>
      </c>
      <c r="C13" s="20"/>
      <c r="D13" s="20"/>
      <c r="E13" s="20"/>
      <c r="F13" s="141">
        <f>ROUNDUP(F12*1.04,0)</f>
        <v>3240</v>
      </c>
      <c r="G13" s="20"/>
      <c r="H13" s="20"/>
      <c r="I13" s="20"/>
      <c r="J13" s="22"/>
      <c r="L13" s="19" t="s">
        <v>32</v>
      </c>
      <c r="M13" s="20"/>
      <c r="N13" s="20"/>
      <c r="O13" s="20"/>
      <c r="P13" s="141">
        <f>ROUNDUP(P12*1.04,0)</f>
        <v>864</v>
      </c>
      <c r="Q13" s="20"/>
      <c r="R13" s="20"/>
      <c r="S13" s="20"/>
      <c r="T13" s="22"/>
      <c r="V13" s="4"/>
      <c r="W13" s="55"/>
      <c r="X13" s="55"/>
      <c r="Y13" s="55"/>
      <c r="Z13" s="55"/>
      <c r="AA13" s="53"/>
      <c r="AB13" s="340"/>
      <c r="AC13" s="23"/>
      <c r="AD13" s="24"/>
      <c r="AE13" s="43"/>
      <c r="AF13" s="19" t="s">
        <v>32</v>
      </c>
      <c r="AG13" s="20"/>
      <c r="AH13" s="20"/>
      <c r="AI13" s="20"/>
      <c r="AJ13" s="141">
        <f>ROUNDUP(AJ12*1.04,0)</f>
        <v>983</v>
      </c>
      <c r="AK13" s="20"/>
      <c r="AL13" s="20"/>
      <c r="AM13" s="20"/>
      <c r="AN13" s="22"/>
      <c r="AO13" s="43"/>
      <c r="AP13" s="19" t="s">
        <v>32</v>
      </c>
      <c r="AQ13" s="20"/>
      <c r="AR13" s="20"/>
      <c r="AS13" s="20"/>
      <c r="AT13" s="141">
        <f>ROUNDUP(AT12*1.04,0)</f>
        <v>723</v>
      </c>
      <c r="AU13" s="20"/>
      <c r="AV13" s="20"/>
      <c r="AW13" s="20"/>
      <c r="AX13" s="22"/>
      <c r="AY13" s="43"/>
      <c r="AZ13" s="19" t="s">
        <v>32</v>
      </c>
      <c r="BA13" s="20"/>
      <c r="BB13" s="20"/>
      <c r="BC13" s="20"/>
      <c r="BD13" s="141">
        <f>ROUNDUP(BD12*1.04,0)</f>
        <v>1815</v>
      </c>
      <c r="BE13" s="20"/>
      <c r="BF13" s="20"/>
      <c r="BG13" s="20"/>
      <c r="BH13" s="22"/>
      <c r="BI13" s="43"/>
      <c r="BJ13" s="4" t="s">
        <v>27</v>
      </c>
      <c r="BK13" s="55"/>
      <c r="BL13" s="55"/>
      <c r="BM13" s="55"/>
      <c r="BN13" s="140">
        <f>SUM(BN10:BN12)</f>
        <v>246</v>
      </c>
      <c r="BO13" s="55"/>
      <c r="BP13" s="55"/>
      <c r="BQ13" s="55"/>
      <c r="BR13" s="18"/>
      <c r="BT13" s="4" t="s">
        <v>27</v>
      </c>
      <c r="BU13" s="55"/>
      <c r="BV13" s="55"/>
      <c r="BW13" s="55"/>
      <c r="BX13" s="140">
        <f>BX10+BX12</f>
        <v>685</v>
      </c>
      <c r="BY13" s="55"/>
      <c r="BZ13" s="55"/>
      <c r="CA13" s="55"/>
      <c r="CB13" s="18"/>
      <c r="CD13" s="1432"/>
      <c r="CE13" s="1433"/>
      <c r="CF13" s="1433"/>
      <c r="CG13" s="1434"/>
      <c r="CH13" s="1435"/>
      <c r="CI13" s="1433"/>
      <c r="CJ13" s="1433"/>
      <c r="CK13" s="161"/>
      <c r="CL13" s="162"/>
    </row>
    <row r="14" spans="2:90" ht="15" thickBot="1" x14ac:dyDescent="0.35">
      <c r="B14" s="12"/>
      <c r="C14" s="5"/>
      <c r="D14" s="159"/>
      <c r="E14" s="45"/>
      <c r="F14" s="160"/>
      <c r="G14" s="5"/>
      <c r="H14" s="5"/>
      <c r="I14" s="161"/>
      <c r="J14" s="162"/>
      <c r="L14" s="12"/>
      <c r="M14" s="5"/>
      <c r="N14" s="159"/>
      <c r="O14" s="45"/>
      <c r="P14" s="160"/>
      <c r="Q14" s="5"/>
      <c r="R14" s="5"/>
      <c r="S14" s="161"/>
      <c r="T14" s="162"/>
      <c r="V14" s="4"/>
      <c r="W14" s="55"/>
      <c r="X14" s="55"/>
      <c r="Y14" s="55"/>
      <c r="Z14" s="55"/>
      <c r="AA14" s="55"/>
      <c r="AB14" s="46"/>
      <c r="AC14" s="23"/>
      <c r="AD14" s="24"/>
      <c r="AE14" s="43"/>
      <c r="AF14" s="4"/>
      <c r="AG14" s="55"/>
      <c r="AH14" s="124"/>
      <c r="AI14" s="46"/>
      <c r="AJ14" s="36"/>
      <c r="AK14" s="55"/>
      <c r="AL14" s="55"/>
      <c r="AM14" s="23"/>
      <c r="AN14" s="24"/>
      <c r="AO14" s="43"/>
      <c r="AP14" s="4"/>
      <c r="AQ14" s="55"/>
      <c r="AR14" s="124"/>
      <c r="AS14" s="46"/>
      <c r="AT14" s="36"/>
      <c r="AU14" s="55"/>
      <c r="AV14" s="55"/>
      <c r="AW14" s="23"/>
      <c r="AX14" s="24"/>
      <c r="AY14" s="43"/>
      <c r="AZ14" s="4"/>
      <c r="BA14" s="55"/>
      <c r="BB14" s="124"/>
      <c r="BC14" s="46"/>
      <c r="BD14" s="36"/>
      <c r="BE14" s="55"/>
      <c r="BF14" s="55"/>
      <c r="BG14" s="23"/>
      <c r="BH14" s="24"/>
      <c r="BI14" s="43"/>
      <c r="BJ14" s="19" t="s">
        <v>32</v>
      </c>
      <c r="BK14" s="20"/>
      <c r="BL14" s="20"/>
      <c r="BM14" s="20"/>
      <c r="BN14" s="141">
        <f>ROUNDUP(BN13*1.04,0)</f>
        <v>256</v>
      </c>
      <c r="BO14" s="20"/>
      <c r="BP14" s="20"/>
      <c r="BQ14" s="20"/>
      <c r="BR14" s="22"/>
      <c r="BT14" s="19" t="s">
        <v>32</v>
      </c>
      <c r="BU14" s="20"/>
      <c r="BV14" s="20"/>
      <c r="BW14" s="20"/>
      <c r="BX14" s="141">
        <f>ROUNDUP(BX13*1.04,0)</f>
        <v>713</v>
      </c>
      <c r="BY14" s="20"/>
      <c r="BZ14" s="20"/>
      <c r="CA14" s="20"/>
      <c r="CB14" s="22"/>
      <c r="CD14" s="1166"/>
      <c r="CE14" s="1167"/>
      <c r="CF14" s="1167"/>
      <c r="CG14" s="1439"/>
      <c r="CH14" s="1167"/>
      <c r="CI14" s="52"/>
      <c r="CJ14" s="1436"/>
      <c r="CK14" s="23"/>
      <c r="CL14" s="24"/>
    </row>
    <row r="15" spans="2:90" x14ac:dyDescent="0.3">
      <c r="B15" s="1166"/>
      <c r="C15" s="1167"/>
      <c r="D15" s="1167"/>
      <c r="E15" s="1167"/>
      <c r="F15" s="1167" t="s">
        <v>1109</v>
      </c>
      <c r="G15" s="1167"/>
      <c r="H15" s="1167"/>
      <c r="I15" s="23"/>
      <c r="J15" s="24"/>
      <c r="L15" s="4"/>
      <c r="M15" s="55"/>
      <c r="N15" s="55"/>
      <c r="O15" s="55"/>
      <c r="P15" s="55"/>
      <c r="Q15" s="53" t="s">
        <v>414</v>
      </c>
      <c r="R15" s="340" t="s">
        <v>415</v>
      </c>
      <c r="S15" s="23"/>
      <c r="T15" s="24"/>
      <c r="V15" s="4"/>
      <c r="W15" s="55"/>
      <c r="X15" s="55"/>
      <c r="Y15" s="55"/>
      <c r="Z15" s="55"/>
      <c r="AA15" s="55"/>
      <c r="AB15" s="55"/>
      <c r="AC15" s="28"/>
      <c r="AD15" s="27"/>
      <c r="AE15" s="43"/>
      <c r="AF15" s="4"/>
      <c r="AG15" s="55"/>
      <c r="AH15" s="55"/>
      <c r="AI15" s="55"/>
      <c r="AJ15" s="55"/>
      <c r="AK15" s="55"/>
      <c r="AL15" s="55"/>
      <c r="AM15" s="23"/>
      <c r="AN15" s="24"/>
      <c r="AO15" s="43"/>
      <c r="AP15" s="4"/>
      <c r="AQ15" s="55"/>
      <c r="AR15" s="55"/>
      <c r="AS15" s="55"/>
      <c r="AT15" s="55"/>
      <c r="AU15" s="55"/>
      <c r="AV15" s="55"/>
      <c r="AW15" s="23"/>
      <c r="AX15" s="24"/>
      <c r="AY15" s="43"/>
      <c r="AZ15" s="4"/>
      <c r="BA15" s="55"/>
      <c r="BB15" s="55"/>
      <c r="BC15" s="1098" t="s">
        <v>1067</v>
      </c>
      <c r="BD15" s="55"/>
      <c r="BE15" s="55"/>
      <c r="BF15" s="55"/>
      <c r="BG15" s="23"/>
      <c r="BH15" s="24"/>
      <c r="BI15" s="43"/>
      <c r="BJ15" s="4"/>
      <c r="BK15" s="55"/>
      <c r="BL15" s="124"/>
      <c r="BM15" s="46"/>
      <c r="BN15" s="36"/>
      <c r="BO15" s="55"/>
      <c r="BP15" s="55"/>
      <c r="BQ15" s="23"/>
      <c r="BR15" s="24"/>
      <c r="BT15" s="4"/>
      <c r="BU15" s="55"/>
      <c r="BV15" s="124"/>
      <c r="BW15" s="46"/>
      <c r="BX15" s="36"/>
      <c r="BY15" s="55"/>
      <c r="BZ15" s="55"/>
      <c r="CA15" s="23"/>
      <c r="CB15" s="24"/>
      <c r="CD15" s="1166"/>
      <c r="CE15" s="1167"/>
      <c r="CF15" s="1167"/>
      <c r="CG15" s="1167"/>
      <c r="CH15" s="1167"/>
      <c r="CI15" s="1167"/>
      <c r="CJ15" s="1168"/>
      <c r="CK15" s="23"/>
      <c r="CL15" s="24"/>
    </row>
    <row r="16" spans="2:90" x14ac:dyDescent="0.3">
      <c r="B16" s="1166"/>
      <c r="C16" s="1167"/>
      <c r="D16" s="1167"/>
      <c r="E16" s="1167"/>
      <c r="F16" s="1167"/>
      <c r="G16" s="1167"/>
      <c r="H16" s="1168" t="str">
        <f>IF(Данные!V42=TRUE,"ХХ","")</f>
        <v/>
      </c>
      <c r="I16" s="23"/>
      <c r="J16" s="24"/>
      <c r="L16" s="4"/>
      <c r="M16" s="55"/>
      <c r="N16" s="55"/>
      <c r="O16" s="55"/>
      <c r="P16" s="55"/>
      <c r="Q16" s="55"/>
      <c r="R16" s="46" t="s">
        <v>416</v>
      </c>
      <c r="S16" s="23"/>
      <c r="T16" s="24"/>
      <c r="V16" s="4"/>
      <c r="W16" s="55"/>
      <c r="X16" s="55"/>
      <c r="Y16" s="55"/>
      <c r="Z16" s="55"/>
      <c r="AA16" s="59"/>
      <c r="AB16" s="59"/>
      <c r="AC16" s="59"/>
      <c r="AD16" s="10"/>
      <c r="AE16" s="43"/>
      <c r="AF16" s="4"/>
      <c r="AG16" s="55"/>
      <c r="AH16" s="55"/>
      <c r="AI16" s="55"/>
      <c r="AJ16" s="55"/>
      <c r="AK16" s="55"/>
      <c r="AL16" s="46" t="str">
        <f>IF(Данные!AZ41=TRUE,"ХХ","")</f>
        <v/>
      </c>
      <c r="AM16" s="23"/>
      <c r="AN16" s="24"/>
      <c r="AO16" s="43"/>
      <c r="AP16" s="4"/>
      <c r="AQ16" s="55"/>
      <c r="AR16" s="55"/>
      <c r="AS16" s="55"/>
      <c r="AT16" s="55"/>
      <c r="AU16" s="55"/>
      <c r="AV16" s="46" t="str">
        <f>IF(Данные!BJ42=TRUE,"ХХ","")</f>
        <v/>
      </c>
      <c r="AW16" s="23"/>
      <c r="AX16" s="24"/>
      <c r="AY16" s="43"/>
      <c r="AZ16" s="4"/>
      <c r="BA16" s="55"/>
      <c r="BB16" s="55"/>
      <c r="BC16" s="55"/>
      <c r="BD16" s="55"/>
      <c r="BE16" s="55"/>
      <c r="BF16" s="46" t="str">
        <f>IF(Данные!BT42=TRUE,"ХХ","")</f>
        <v/>
      </c>
      <c r="BG16" s="23"/>
      <c r="BH16" s="24"/>
      <c r="BI16" s="43"/>
      <c r="BJ16" s="4"/>
      <c r="BK16" s="55"/>
      <c r="BL16" s="55"/>
      <c r="BM16" s="55"/>
      <c r="BN16" s="55"/>
      <c r="BO16" s="55"/>
      <c r="BP16" s="55"/>
      <c r="BQ16" s="23"/>
      <c r="BR16" s="24"/>
      <c r="BT16" s="4"/>
      <c r="BU16" s="55"/>
      <c r="BV16" s="55"/>
      <c r="BW16" s="55"/>
      <c r="BX16" s="55"/>
      <c r="BY16" s="55"/>
      <c r="BZ16" s="55"/>
      <c r="CA16" s="23"/>
      <c r="CB16" s="24"/>
      <c r="CD16" s="1166"/>
      <c r="CE16" s="1167"/>
      <c r="CF16" s="1167"/>
      <c r="CG16" s="1437"/>
      <c r="CH16" s="1167"/>
      <c r="CI16" s="1167"/>
      <c r="CJ16" s="1167"/>
      <c r="CK16" s="29"/>
      <c r="CL16" s="27"/>
    </row>
    <row r="17" spans="2:90" x14ac:dyDescent="0.3">
      <c r="B17" s="1166"/>
      <c r="C17" s="1167"/>
      <c r="D17" s="1167"/>
      <c r="E17" s="1167"/>
      <c r="F17" s="1169" t="s">
        <v>1108</v>
      </c>
      <c r="G17" s="1167"/>
      <c r="H17" s="1167" t="str">
        <f>IF(Данные!V42=TRUE,"ХХ","")</f>
        <v/>
      </c>
      <c r="I17" s="29"/>
      <c r="J17" s="27"/>
      <c r="L17" s="4"/>
      <c r="M17" s="55"/>
      <c r="N17" s="55"/>
      <c r="O17" s="55"/>
      <c r="P17" s="55"/>
      <c r="Q17" s="55"/>
      <c r="R17" s="55" t="s">
        <v>418</v>
      </c>
      <c r="S17" s="28"/>
      <c r="T17" s="27"/>
      <c r="V17" s="4"/>
      <c r="W17" s="55"/>
      <c r="X17" s="55"/>
      <c r="Y17" s="55"/>
      <c r="Z17" s="55"/>
      <c r="AA17" s="53"/>
      <c r="AB17" s="55"/>
      <c r="AC17" s="26"/>
      <c r="AD17" s="27"/>
      <c r="AE17" s="43"/>
      <c r="AF17" s="4"/>
      <c r="AG17" s="55"/>
      <c r="AH17" s="55"/>
      <c r="AI17" s="55"/>
      <c r="AJ17" s="55"/>
      <c r="AK17" s="55"/>
      <c r="AL17" s="55" t="str">
        <f>IF(Данные!AZ41=TRUE,"ХХ","")</f>
        <v/>
      </c>
      <c r="AM17" s="28"/>
      <c r="AN17" s="27"/>
      <c r="AO17" s="43"/>
      <c r="AP17" s="4"/>
      <c r="AQ17" s="55"/>
      <c r="AR17" s="55"/>
      <c r="AS17" s="55"/>
      <c r="AT17" s="55"/>
      <c r="AU17" s="55"/>
      <c r="AV17" s="55" t="str">
        <f>IF(Данные!BJ42=TRUE,"ХХ","")</f>
        <v/>
      </c>
      <c r="AW17" s="28"/>
      <c r="AX17" s="27"/>
      <c r="AY17" s="43"/>
      <c r="AZ17" s="4"/>
      <c r="BA17" s="55"/>
      <c r="BB17" s="55"/>
      <c r="BC17" s="55"/>
      <c r="BD17" s="55"/>
      <c r="BE17" s="55"/>
      <c r="BF17" s="55" t="str">
        <f>IF(Данные!BT42=TRUE,"ХХ","")</f>
        <v/>
      </c>
      <c r="BG17" s="28"/>
      <c r="BH17" s="27"/>
      <c r="BI17" s="43"/>
      <c r="BJ17" s="4"/>
      <c r="BK17" s="55"/>
      <c r="BL17" s="55"/>
      <c r="BM17" s="55"/>
      <c r="BN17" s="55"/>
      <c r="BO17" s="55"/>
      <c r="BP17" s="46" t="str">
        <f>IF(Данные!B42=TRUE,"ХХ","")</f>
        <v/>
      </c>
      <c r="BQ17" s="23"/>
      <c r="BR17" s="24"/>
      <c r="BT17" s="4"/>
      <c r="BU17" s="55"/>
      <c r="BV17" s="55"/>
      <c r="BW17" s="55"/>
      <c r="BX17" s="55"/>
      <c r="BY17" s="55"/>
      <c r="BZ17" s="46" t="str">
        <f>IF(Данные!L42=TRUE,"ХХ","")</f>
        <v/>
      </c>
      <c r="CA17" s="23"/>
      <c r="CB17" s="24"/>
      <c r="CD17" s="1166"/>
      <c r="CE17" s="1167"/>
      <c r="CF17" s="1167"/>
      <c r="CH17" s="1172"/>
      <c r="CI17" s="23"/>
      <c r="CJ17" s="23"/>
      <c r="CK17" s="23"/>
      <c r="CL17" s="24"/>
    </row>
    <row r="18" spans="2:90" x14ac:dyDescent="0.3">
      <c r="B18" s="1166"/>
      <c r="C18" s="1167"/>
      <c r="D18" s="1167"/>
      <c r="E18" s="1167"/>
      <c r="F18" s="1167"/>
      <c r="G18" s="1167"/>
      <c r="H18" s="1167" t="str">
        <f>IF(Данные!V42=TRUE,"ХХ","")</f>
        <v/>
      </c>
      <c r="I18" s="29"/>
      <c r="J18" s="27"/>
      <c r="L18" s="4"/>
      <c r="M18" s="55"/>
      <c r="N18" s="55"/>
      <c r="O18" s="55"/>
      <c r="P18" s="55"/>
      <c r="Q18" s="59"/>
      <c r="R18" s="59"/>
      <c r="S18" s="59"/>
      <c r="T18" s="10"/>
      <c r="V18" s="4"/>
      <c r="W18" s="55"/>
      <c r="X18" s="55"/>
      <c r="Y18" s="55"/>
      <c r="Z18" s="55"/>
      <c r="AA18" s="55"/>
      <c r="AB18" s="122"/>
      <c r="AC18" s="29"/>
      <c r="AD18" s="27"/>
      <c r="AE18" s="43"/>
      <c r="AF18" s="4"/>
      <c r="AG18" s="55"/>
      <c r="AH18" s="55"/>
      <c r="AI18" s="55"/>
      <c r="AJ18" s="55"/>
      <c r="AK18" s="55"/>
      <c r="AL18" s="55" t="str">
        <f>IF(Данные!AZ41=TRUE,"ХХ","")</f>
        <v/>
      </c>
      <c r="AM18" s="26"/>
      <c r="AN18" s="27"/>
      <c r="AO18" s="43"/>
      <c r="AP18" s="4"/>
      <c r="AQ18" s="55"/>
      <c r="AR18" s="55"/>
      <c r="AS18" s="55"/>
      <c r="AT18" s="55"/>
      <c r="AU18" s="55"/>
      <c r="AV18" s="55" t="str">
        <f>IF(Данные!BJ42=TRUE,"ХХ","")</f>
        <v/>
      </c>
      <c r="AW18" s="26"/>
      <c r="AX18" s="27"/>
      <c r="AY18" s="43"/>
      <c r="AZ18" s="4"/>
      <c r="BA18" s="55"/>
      <c r="BB18" s="55"/>
      <c r="BC18" s="55"/>
      <c r="BD18" s="55"/>
      <c r="BE18" s="55"/>
      <c r="BF18" s="55" t="str">
        <f>IF(Данные!BT42=TRUE,"ХХ","")</f>
        <v/>
      </c>
      <c r="BG18" s="26"/>
      <c r="BH18" s="27"/>
      <c r="BI18" s="43"/>
      <c r="BJ18" s="4"/>
      <c r="BK18" s="55"/>
      <c r="BL18" s="55"/>
      <c r="BM18" s="55"/>
      <c r="BN18" s="55"/>
      <c r="BO18" s="55"/>
      <c r="BP18" s="55" t="str">
        <f>IF(Данные!B42=TRUE,"ХХ","")</f>
        <v/>
      </c>
      <c r="BQ18" s="28"/>
      <c r="BR18" s="27"/>
      <c r="BT18" s="4"/>
      <c r="BU18" s="55"/>
      <c r="BV18" s="55"/>
      <c r="BW18" s="55"/>
      <c r="BX18" s="55"/>
      <c r="BY18" s="55"/>
      <c r="BZ18" s="55" t="str">
        <f>IF(Данные!L42=TRUE,"ХХ","")</f>
        <v/>
      </c>
      <c r="CA18" s="28"/>
      <c r="CB18" s="27"/>
      <c r="CD18" s="1166"/>
      <c r="CE18" s="1167"/>
      <c r="CF18" s="1167"/>
      <c r="CG18" s="1437"/>
      <c r="CH18" s="1167"/>
      <c r="CI18" s="52"/>
      <c r="CJ18" s="1167"/>
      <c r="CK18" s="29"/>
      <c r="CL18" s="27"/>
    </row>
    <row r="19" spans="2:90" ht="15.6" x14ac:dyDescent="0.3">
      <c r="B19" s="1166"/>
      <c r="C19" s="1167"/>
      <c r="D19" s="1167"/>
      <c r="E19" s="1167"/>
      <c r="F19" s="1167"/>
      <c r="G19" s="1167"/>
      <c r="H19" s="1170" t="str">
        <f>IF(Данные!V42=TRUE,"ХХ","")</f>
        <v/>
      </c>
      <c r="I19" s="29"/>
      <c r="J19" s="27"/>
      <c r="L19" s="4"/>
      <c r="M19" s="55"/>
      <c r="N19" s="55"/>
      <c r="O19" s="55"/>
      <c r="P19" s="55"/>
      <c r="Q19" s="53" t="s">
        <v>417</v>
      </c>
      <c r="R19" s="55" t="s">
        <v>423</v>
      </c>
      <c r="S19" s="26"/>
      <c r="T19" s="27"/>
      <c r="V19" s="4"/>
      <c r="W19" s="55"/>
      <c r="X19" s="55"/>
      <c r="Y19" s="55"/>
      <c r="Z19" s="55"/>
      <c r="AA19" s="55"/>
      <c r="AB19" s="122"/>
      <c r="AC19" s="29"/>
      <c r="AD19" s="27"/>
      <c r="AE19" s="43"/>
      <c r="AF19" s="4"/>
      <c r="AG19" s="55"/>
      <c r="AH19" s="55"/>
      <c r="AI19" s="55"/>
      <c r="AJ19" s="55"/>
      <c r="AK19" s="55"/>
      <c r="AL19" s="122" t="str">
        <f>IF(Данные!AZ41=TRUE,"ХХ","")</f>
        <v/>
      </c>
      <c r="AM19" s="29"/>
      <c r="AN19" s="27"/>
      <c r="AO19" s="43"/>
      <c r="AP19" s="4"/>
      <c r="AQ19" s="55"/>
      <c r="AR19" s="55"/>
      <c r="AS19" s="55"/>
      <c r="AT19" s="55"/>
      <c r="AU19" s="55"/>
      <c r="AV19" s="122" t="str">
        <f>IF(Данные!BJ42=TRUE,"ХХ","")</f>
        <v/>
      </c>
      <c r="AW19" s="29"/>
      <c r="AX19" s="27"/>
      <c r="AY19" s="43"/>
      <c r="AZ19" s="4"/>
      <c r="BA19" s="1099"/>
      <c r="BB19" s="55"/>
      <c r="BC19" s="55"/>
      <c r="BD19" s="55"/>
      <c r="BE19" s="55"/>
      <c r="BF19" s="122" t="str">
        <f>IF(Данные!BT42=TRUE,"ХХ","")</f>
        <v/>
      </c>
      <c r="BG19" s="29"/>
      <c r="BH19" s="27"/>
      <c r="BI19" s="43"/>
      <c r="BJ19" s="4"/>
      <c r="BK19" s="55"/>
      <c r="BL19" s="55"/>
      <c r="BM19" s="55"/>
      <c r="BN19" s="55"/>
      <c r="BO19" s="55"/>
      <c r="BP19" s="55" t="str">
        <f>IF(Данные!B42=TRUE,"ХХ","")</f>
        <v/>
      </c>
      <c r="BQ19" s="26"/>
      <c r="BR19" s="27"/>
      <c r="BT19" s="4"/>
      <c r="BU19" s="55"/>
      <c r="BV19" s="55"/>
      <c r="BW19" s="55"/>
      <c r="BX19" s="55"/>
      <c r="BY19" s="55"/>
      <c r="BZ19" s="55" t="str">
        <f>IF(Данные!L42=TRUE,"ХХ","")</f>
        <v/>
      </c>
      <c r="CA19" s="26"/>
      <c r="CB19" s="27"/>
      <c r="CD19" s="1166"/>
      <c r="CE19" s="1167"/>
      <c r="CF19" s="1167"/>
      <c r="CH19" s="1172"/>
      <c r="CI19" s="1167"/>
      <c r="CJ19" s="1170"/>
      <c r="CK19" s="29"/>
      <c r="CL19" s="27"/>
    </row>
    <row r="20" spans="2:90" x14ac:dyDescent="0.3">
      <c r="B20" s="1166"/>
      <c r="C20" s="1167"/>
      <c r="D20" s="1167"/>
      <c r="E20" s="1167"/>
      <c r="F20" s="1167"/>
      <c r="G20" s="1167"/>
      <c r="H20" s="1170" t="str">
        <f>IF(Данные!V42=TRUE,"ХХ","")</f>
        <v/>
      </c>
      <c r="I20" s="29"/>
      <c r="J20" s="27"/>
      <c r="L20" s="4"/>
      <c r="M20" s="55"/>
      <c r="N20" s="55"/>
      <c r="O20" s="55"/>
      <c r="P20" s="55"/>
      <c r="Q20" s="55"/>
      <c r="R20" s="122" t="s">
        <v>424</v>
      </c>
      <c r="S20" s="29"/>
      <c r="T20" s="27"/>
      <c r="V20" s="4"/>
      <c r="W20" s="55"/>
      <c r="X20" s="31"/>
      <c r="Y20" s="32"/>
      <c r="Z20" s="55"/>
      <c r="AA20" s="53"/>
      <c r="AB20" s="122"/>
      <c r="AC20" s="29"/>
      <c r="AD20" s="27"/>
      <c r="AE20" s="43"/>
      <c r="AF20" s="4"/>
      <c r="AG20" s="55"/>
      <c r="AH20" s="55"/>
      <c r="AI20" s="55"/>
      <c r="AJ20" s="55"/>
      <c r="AK20" s="55"/>
      <c r="AL20" s="122" t="str">
        <f>IF(Данные!AZ41=TRUE,"ХХ","")</f>
        <v/>
      </c>
      <c r="AM20" s="29"/>
      <c r="AN20" s="27"/>
      <c r="AO20" s="43"/>
      <c r="AP20" s="4"/>
      <c r="AQ20" s="55"/>
      <c r="AR20" s="55"/>
      <c r="AS20" s="55"/>
      <c r="AT20" s="55"/>
      <c r="AU20" s="55"/>
      <c r="AV20" s="122" t="str">
        <f>IF(Данные!BJ42=TRUE,"ХХ","")</f>
        <v/>
      </c>
      <c r="AW20" s="29"/>
      <c r="AX20" s="27"/>
      <c r="AY20" s="43"/>
      <c r="AZ20" s="4"/>
      <c r="BA20" s="55"/>
      <c r="BB20" s="55"/>
      <c r="BC20" s="55"/>
      <c r="BD20" s="55"/>
      <c r="BE20" s="55"/>
      <c r="BF20" s="1097">
        <v>415</v>
      </c>
      <c r="BG20" s="29"/>
      <c r="BH20" s="27"/>
      <c r="BI20" s="43"/>
      <c r="BJ20" s="4"/>
      <c r="BK20" s="55"/>
      <c r="BL20" s="55"/>
      <c r="BM20" s="55"/>
      <c r="BN20" s="55"/>
      <c r="BO20" s="55"/>
      <c r="BP20" s="122" t="str">
        <f>IF(Данные!B42=TRUE,"ХХ","")</f>
        <v/>
      </c>
      <c r="BQ20" s="29"/>
      <c r="BR20" s="27"/>
      <c r="BT20" s="4"/>
      <c r="BU20" s="55"/>
      <c r="BV20" s="55"/>
      <c r="BW20" s="55"/>
      <c r="BX20" s="55"/>
      <c r="BY20" s="55"/>
      <c r="BZ20" s="122" t="str">
        <f>IF(Данные!L42=TRUE,"ХХ","")</f>
        <v/>
      </c>
      <c r="CA20" s="29"/>
      <c r="CB20" s="27"/>
      <c r="CD20" s="1166"/>
      <c r="CE20" s="1167"/>
      <c r="CF20" s="1167"/>
      <c r="CG20" s="1167"/>
      <c r="CH20" s="1167"/>
      <c r="CI20" s="1167"/>
      <c r="CJ20" s="1170"/>
      <c r="CK20" s="29"/>
      <c r="CL20" s="27"/>
    </row>
    <row r="21" spans="2:90" x14ac:dyDescent="0.3">
      <c r="B21" s="1166"/>
      <c r="C21" s="1167"/>
      <c r="D21" s="1167"/>
      <c r="E21" s="1167"/>
      <c r="F21" s="1167"/>
      <c r="G21" s="1167"/>
      <c r="H21" s="1170" t="str">
        <f>IF(Данные!V42=TRUE,"ХХ","")</f>
        <v/>
      </c>
      <c r="I21" s="29" t="s">
        <v>1113</v>
      </c>
      <c r="J21" s="24"/>
      <c r="L21" s="4"/>
      <c r="M21" s="55"/>
      <c r="N21" s="55"/>
      <c r="O21" s="55"/>
      <c r="P21" s="55"/>
      <c r="Q21" s="55"/>
      <c r="R21" s="122" t="str">
        <f>IF(Данные!AF42=TRUE,"ХХ","")</f>
        <v/>
      </c>
      <c r="S21" s="29"/>
      <c r="T21" s="27"/>
      <c r="V21" s="4"/>
      <c r="W21" s="55"/>
      <c r="X21" s="59"/>
      <c r="Y21" s="55"/>
      <c r="Z21" s="55"/>
      <c r="AA21" s="55"/>
      <c r="AB21" s="122"/>
      <c r="AC21" s="29"/>
      <c r="AD21" s="27"/>
      <c r="AE21" s="43"/>
      <c r="AF21" s="4"/>
      <c r="AG21" s="55"/>
      <c r="AH21" s="55"/>
      <c r="AI21" s="55"/>
      <c r="AJ21" s="55"/>
      <c r="AK21" s="55"/>
      <c r="AL21" s="122" t="str">
        <f>IF(Данные!AZ41=TRUE,"ХХ","")</f>
        <v/>
      </c>
      <c r="AM21" s="29"/>
      <c r="AN21" s="27"/>
      <c r="AO21" s="43"/>
      <c r="AP21" s="4"/>
      <c r="AQ21" s="55"/>
      <c r="AR21" s="55"/>
      <c r="AS21" s="55"/>
      <c r="AT21" s="55"/>
      <c r="AU21" s="55"/>
      <c r="AV21" s="122" t="str">
        <f>IF(Данные!BJ42=TRUE,"ХХ","")</f>
        <v/>
      </c>
      <c r="AW21" s="29"/>
      <c r="AX21" s="27"/>
      <c r="AY21" s="43"/>
      <c r="AZ21" s="4"/>
      <c r="BA21" s="55"/>
      <c r="BB21" s="55"/>
      <c r="BC21" s="55"/>
      <c r="BD21" s="55"/>
      <c r="BE21" s="55"/>
      <c r="BF21" s="122" t="str">
        <f>IF(Данные!BT42=TRUE,"ХХ","")</f>
        <v/>
      </c>
      <c r="BG21" s="29"/>
      <c r="BH21" s="27"/>
      <c r="BI21" s="43"/>
      <c r="BJ21" s="4"/>
      <c r="BK21" s="55"/>
      <c r="BL21" s="55"/>
      <c r="BM21" s="55"/>
      <c r="BN21" s="55"/>
      <c r="BO21" s="55"/>
      <c r="BP21" s="122" t="str">
        <f>IF(Данные!B42=TRUE,"ХХ","")</f>
        <v/>
      </c>
      <c r="BQ21" s="29"/>
      <c r="BR21" s="27"/>
      <c r="BT21" s="4"/>
      <c r="BU21" s="55"/>
      <c r="BV21" s="55"/>
      <c r="BW21" s="55"/>
      <c r="BX21" s="55"/>
      <c r="BY21" s="55"/>
      <c r="BZ21" s="122" t="str">
        <f>IF(Данные!L42=TRUE,"ХХ","")</f>
        <v/>
      </c>
      <c r="CA21" s="29"/>
      <c r="CB21" s="27"/>
      <c r="CD21" s="1166"/>
      <c r="CE21" s="1167"/>
      <c r="CF21" s="182"/>
      <c r="CG21" s="30"/>
      <c r="CH21" s="1167"/>
      <c r="CI21" s="52"/>
      <c r="CJ21" s="1170"/>
      <c r="CK21" s="29"/>
      <c r="CL21" s="27"/>
    </row>
    <row r="22" spans="2:90" x14ac:dyDescent="0.3">
      <c r="B22" s="1166"/>
      <c r="C22" s="1167"/>
      <c r="D22" s="182"/>
      <c r="E22" s="30"/>
      <c r="F22" s="1167" t="s">
        <v>1110</v>
      </c>
      <c r="G22" s="1167"/>
      <c r="H22" s="1167"/>
      <c r="I22" s="29"/>
      <c r="J22" s="27"/>
      <c r="L22" s="4"/>
      <c r="M22" s="55"/>
      <c r="N22" s="31"/>
      <c r="O22" s="32"/>
      <c r="P22" s="55"/>
      <c r="Q22" s="53" t="s">
        <v>419</v>
      </c>
      <c r="R22" s="122" t="s">
        <v>421</v>
      </c>
      <c r="S22" s="29"/>
      <c r="T22" s="27"/>
      <c r="V22" s="4"/>
      <c r="W22" s="33"/>
      <c r="X22" s="59"/>
      <c r="Y22" s="34"/>
      <c r="Z22" s="55"/>
      <c r="AA22" s="55"/>
      <c r="AB22" s="122"/>
      <c r="AC22" s="29"/>
      <c r="AD22" s="27"/>
      <c r="AE22" s="43"/>
      <c r="AF22" s="4"/>
      <c r="AG22" s="55"/>
      <c r="AH22" s="31"/>
      <c r="AI22" s="32"/>
      <c r="AJ22" s="55"/>
      <c r="AK22" s="55"/>
      <c r="AL22" s="55"/>
      <c r="AM22" s="29"/>
      <c r="AN22" s="27"/>
      <c r="AO22" s="43"/>
      <c r="AP22" s="4"/>
      <c r="AQ22" s="55"/>
      <c r="AR22" s="31"/>
      <c r="AS22" s="32"/>
      <c r="AT22" s="55"/>
      <c r="AU22" s="55"/>
      <c r="AV22" s="55"/>
      <c r="AW22" s="29"/>
      <c r="AX22" s="27"/>
      <c r="AY22" s="43"/>
      <c r="AZ22" s="4"/>
      <c r="BA22" s="55"/>
      <c r="BB22" s="31"/>
      <c r="BC22" s="32"/>
      <c r="BD22" s="55"/>
      <c r="BE22" s="55"/>
      <c r="BF22" s="55"/>
      <c r="BG22" s="29"/>
      <c r="BH22" s="27"/>
      <c r="BI22" s="43"/>
      <c r="BJ22" s="4"/>
      <c r="BK22" s="55"/>
      <c r="BL22" s="55"/>
      <c r="BM22" s="55"/>
      <c r="BN22" s="55"/>
      <c r="BO22" s="55"/>
      <c r="BP22" s="122" t="str">
        <f>IF(Данные!B42=TRUE,"ХХ","")</f>
        <v/>
      </c>
      <c r="BQ22" s="29"/>
      <c r="BR22" s="27"/>
      <c r="BT22" s="4"/>
      <c r="BU22" s="55"/>
      <c r="BV22" s="55"/>
      <c r="BW22" s="55"/>
      <c r="BX22" s="55"/>
      <c r="BY22" s="55"/>
      <c r="BZ22" s="122" t="str">
        <f>IF(Данные!L42=TRUE,"ХХ","")</f>
        <v/>
      </c>
      <c r="CA22" s="29"/>
      <c r="CB22" s="27"/>
      <c r="CD22" s="1166"/>
      <c r="CE22" s="1167"/>
      <c r="CF22" s="23"/>
      <c r="CG22" s="1167"/>
      <c r="CH22" s="1167"/>
      <c r="CI22" s="1167"/>
      <c r="CJ22" s="1170"/>
      <c r="CK22" s="29"/>
      <c r="CL22" s="27"/>
    </row>
    <row r="23" spans="2:90" x14ac:dyDescent="0.3">
      <c r="B23" s="1166"/>
      <c r="C23" s="1167"/>
      <c r="D23" s="23"/>
      <c r="E23" s="1167"/>
      <c r="F23" s="1167"/>
      <c r="G23" s="1167"/>
      <c r="H23" s="1167"/>
      <c r="I23" s="29"/>
      <c r="J23" s="27"/>
      <c r="L23" s="4"/>
      <c r="M23" s="55"/>
      <c r="N23" s="59"/>
      <c r="O23" s="55"/>
      <c r="P23" s="55"/>
      <c r="Q23" s="55"/>
      <c r="R23" s="122" t="s">
        <v>422</v>
      </c>
      <c r="S23" s="29"/>
      <c r="T23" s="27"/>
      <c r="V23" s="4"/>
      <c r="W23" s="59"/>
      <c r="X23" s="55"/>
      <c r="Y23" s="26"/>
      <c r="Z23" s="31"/>
      <c r="AA23" s="55"/>
      <c r="AB23" s="122"/>
      <c r="AC23" s="29"/>
      <c r="AD23" s="27"/>
      <c r="AE23" s="43"/>
      <c r="AF23" s="4"/>
      <c r="AG23" s="55"/>
      <c r="AH23" s="59"/>
      <c r="AI23" s="55"/>
      <c r="AJ23" s="55"/>
      <c r="AK23" s="55"/>
      <c r="AL23" s="55"/>
      <c r="AM23" s="29"/>
      <c r="AN23" s="27"/>
      <c r="AO23" s="43"/>
      <c r="AP23" s="4"/>
      <c r="AQ23" s="55"/>
      <c r="AR23" s="59"/>
      <c r="AS23" s="55"/>
      <c r="AT23" s="55"/>
      <c r="AU23" s="55"/>
      <c r="AV23" s="55"/>
      <c r="AW23" s="29"/>
      <c r="AX23" s="27"/>
      <c r="AY23" s="43"/>
      <c r="AZ23" s="4"/>
      <c r="BA23" s="55"/>
      <c r="BB23" s="1096" t="s">
        <v>1066</v>
      </c>
      <c r="BC23" s="55"/>
      <c r="BD23" s="55"/>
      <c r="BE23" s="55"/>
      <c r="BF23" s="55"/>
      <c r="BG23" s="29"/>
      <c r="BH23" s="27"/>
      <c r="BI23" s="43"/>
      <c r="BJ23" s="4"/>
      <c r="BK23" s="55"/>
      <c r="BL23" s="31"/>
      <c r="BM23" s="32"/>
      <c r="BN23" s="55"/>
      <c r="BO23" s="55"/>
      <c r="BP23" s="55"/>
      <c r="BQ23" s="29"/>
      <c r="BR23" s="27"/>
      <c r="BT23" s="4"/>
      <c r="BU23" s="55"/>
      <c r="BV23" s="31"/>
      <c r="BW23" s="32"/>
      <c r="BX23" s="55"/>
      <c r="BY23" s="55"/>
      <c r="BZ23" s="55"/>
      <c r="CA23" s="29"/>
      <c r="CB23" s="27"/>
      <c r="CD23" s="1166"/>
      <c r="CE23" s="1171"/>
      <c r="CF23" s="23"/>
      <c r="CG23" s="182"/>
      <c r="CH23" s="1167"/>
      <c r="CI23" s="1167"/>
      <c r="CJ23" s="1170"/>
      <c r="CK23" s="29"/>
      <c r="CL23" s="27"/>
    </row>
    <row r="24" spans="2:90" x14ac:dyDescent="0.3">
      <c r="B24" s="1166"/>
      <c r="C24" s="1171"/>
      <c r="D24" s="23"/>
      <c r="E24" s="182"/>
      <c r="F24" s="1167" t="s">
        <v>1118</v>
      </c>
      <c r="G24" s="1167"/>
      <c r="H24" s="1167"/>
      <c r="I24" s="29"/>
      <c r="J24" s="27"/>
      <c r="L24" s="4"/>
      <c r="M24" s="33"/>
      <c r="N24" s="59"/>
      <c r="O24" s="34"/>
      <c r="P24" s="55"/>
      <c r="Q24" s="55"/>
      <c r="R24" s="122" t="s">
        <v>425</v>
      </c>
      <c r="S24" s="29"/>
      <c r="T24" s="27"/>
      <c r="V24" s="4"/>
      <c r="W24" s="59"/>
      <c r="X24" s="55"/>
      <c r="Y24" s="26"/>
      <c r="Z24" s="31"/>
      <c r="AA24" s="55"/>
      <c r="AB24" s="55"/>
      <c r="AC24" s="29"/>
      <c r="AD24" s="27"/>
      <c r="AE24" s="43"/>
      <c r="AF24" s="4"/>
      <c r="AG24" s="33"/>
      <c r="AH24" s="59"/>
      <c r="AI24" s="34"/>
      <c r="AJ24" s="55"/>
      <c r="AK24" s="55"/>
      <c r="AL24" s="55"/>
      <c r="AM24" s="29"/>
      <c r="AN24" s="27"/>
      <c r="AO24" s="43"/>
      <c r="AP24" s="4"/>
      <c r="AQ24" s="33"/>
      <c r="AR24" s="59"/>
      <c r="AS24" s="34"/>
      <c r="AT24" s="55"/>
      <c r="AU24" s="55"/>
      <c r="AV24" s="55"/>
      <c r="AW24" s="29"/>
      <c r="AX24" s="27"/>
      <c r="AY24" s="43"/>
      <c r="AZ24" s="4"/>
      <c r="BA24" s="33"/>
      <c r="BB24" s="59"/>
      <c r="BC24" s="34"/>
      <c r="BD24" s="55"/>
      <c r="BE24" s="55"/>
      <c r="BF24" s="55"/>
      <c r="BG24" s="29"/>
      <c r="BH24" s="27"/>
      <c r="BI24" s="43"/>
      <c r="BJ24" s="4"/>
      <c r="BK24" s="55"/>
      <c r="BL24" s="59"/>
      <c r="BM24" s="55"/>
      <c r="BN24" s="55"/>
      <c r="BO24" s="55"/>
      <c r="BP24" s="55"/>
      <c r="BQ24" s="29"/>
      <c r="BR24" s="27"/>
      <c r="BT24" s="4"/>
      <c r="BU24" s="55"/>
      <c r="BV24" s="59"/>
      <c r="BW24" s="55"/>
      <c r="BX24" s="55"/>
      <c r="BY24" s="55"/>
      <c r="BZ24" s="55"/>
      <c r="CA24" s="29"/>
      <c r="CB24" s="27"/>
      <c r="CD24" s="1166"/>
      <c r="CE24" s="23"/>
      <c r="CF24" s="1167"/>
      <c r="CG24" s="29"/>
      <c r="CH24" s="182"/>
      <c r="CI24" s="1167"/>
      <c r="CJ24" s="1438"/>
      <c r="CK24" s="29"/>
      <c r="CL24" s="27"/>
    </row>
    <row r="25" spans="2:90" x14ac:dyDescent="0.3">
      <c r="B25" s="1173">
        <v>370</v>
      </c>
      <c r="C25" s="23"/>
      <c r="D25" s="1167"/>
      <c r="E25" s="29"/>
      <c r="F25" s="182"/>
      <c r="G25" s="1167"/>
      <c r="H25" s="1167"/>
      <c r="I25" s="29"/>
      <c r="J25" s="27"/>
      <c r="L25" s="4"/>
      <c r="M25" s="59"/>
      <c r="N25" s="55"/>
      <c r="O25" s="26"/>
      <c r="P25" s="31"/>
      <c r="Q25" s="55"/>
      <c r="R25" s="122" t="s">
        <v>426</v>
      </c>
      <c r="S25" s="29"/>
      <c r="T25" s="27"/>
      <c r="V25" s="4"/>
      <c r="W25" s="55"/>
      <c r="X25" s="55"/>
      <c r="Y25" s="55"/>
      <c r="Z25" s="55"/>
      <c r="AA25" s="55"/>
      <c r="AB25" s="55"/>
      <c r="AC25" s="29"/>
      <c r="AD25" s="27"/>
      <c r="AE25" s="43"/>
      <c r="AF25" s="4"/>
      <c r="AG25" s="43"/>
      <c r="AH25" s="55"/>
      <c r="AI25" s="26"/>
      <c r="AJ25" s="31"/>
      <c r="AK25" s="55"/>
      <c r="AL25" s="55"/>
      <c r="AM25" s="29"/>
      <c r="AN25" s="27"/>
      <c r="AO25" s="43"/>
      <c r="AP25" s="4"/>
      <c r="AQ25" s="43"/>
      <c r="AR25" s="55"/>
      <c r="AS25" s="26"/>
      <c r="AT25" s="31"/>
      <c r="AU25" s="55"/>
      <c r="AV25" s="55"/>
      <c r="AW25" s="29"/>
      <c r="AX25" s="27"/>
      <c r="AY25" s="43"/>
      <c r="AZ25" s="4"/>
      <c r="BA25" s="43"/>
      <c r="BB25" s="55"/>
      <c r="BC25" s="26"/>
      <c r="BD25" s="31"/>
      <c r="BE25" s="55"/>
      <c r="BF25" s="55"/>
      <c r="BG25" s="29"/>
      <c r="BH25" s="27"/>
      <c r="BI25" s="43"/>
      <c r="BJ25" s="4"/>
      <c r="BK25" s="33"/>
      <c r="BL25" s="59"/>
      <c r="BM25" s="34"/>
      <c r="BN25" s="55"/>
      <c r="BO25" s="55"/>
      <c r="BP25" s="55"/>
      <c r="BQ25" s="29"/>
      <c r="BR25" s="27"/>
      <c r="BT25" s="4"/>
      <c r="BU25" s="33"/>
      <c r="BV25" s="59"/>
      <c r="BW25" s="34"/>
      <c r="BX25" s="55"/>
      <c r="BY25" s="55"/>
      <c r="BZ25" s="55"/>
      <c r="CA25" s="29"/>
      <c r="CB25" s="27"/>
      <c r="CD25" s="1166"/>
      <c r="CE25" s="23"/>
      <c r="CF25" s="1167"/>
      <c r="CG25" s="29"/>
      <c r="CH25" s="182"/>
      <c r="CI25" s="1167"/>
      <c r="CJ25" s="1167"/>
      <c r="CK25" s="29"/>
      <c r="CL25" s="27"/>
    </row>
    <row r="26" spans="2:90" x14ac:dyDescent="0.3">
      <c r="B26" s="1173" t="s">
        <v>1119</v>
      </c>
      <c r="C26" s="23"/>
      <c r="D26" s="1167"/>
      <c r="E26" s="29"/>
      <c r="F26" s="182"/>
      <c r="G26" s="1167"/>
      <c r="H26" s="1167"/>
      <c r="I26" s="29"/>
      <c r="J26" s="27"/>
      <c r="L26" s="4"/>
      <c r="M26" s="59"/>
      <c r="N26" s="55"/>
      <c r="O26" s="26"/>
      <c r="P26" s="31"/>
      <c r="Q26" s="55"/>
      <c r="R26" s="55"/>
      <c r="S26" s="29"/>
      <c r="T26" s="27"/>
      <c r="V26" s="4"/>
      <c r="W26" s="55"/>
      <c r="X26" s="55"/>
      <c r="Y26" s="55"/>
      <c r="Z26" s="55"/>
      <c r="AA26" s="55"/>
      <c r="AB26" s="55" t="str">
        <f>IF(Данные!AP42=TRUE,"ХХ","")</f>
        <v/>
      </c>
      <c r="AC26" s="28"/>
      <c r="AD26" s="27"/>
      <c r="AE26" s="43"/>
      <c r="AF26" s="4"/>
      <c r="AG26" s="43"/>
      <c r="AH26" s="55"/>
      <c r="AI26" s="26"/>
      <c r="AJ26" s="31"/>
      <c r="AK26" s="55"/>
      <c r="AL26" s="55"/>
      <c r="AM26" s="29"/>
      <c r="AN26" s="27"/>
      <c r="AO26" s="43"/>
      <c r="AP26" s="4"/>
      <c r="AQ26" s="43"/>
      <c r="AR26" s="55"/>
      <c r="AS26" s="26"/>
      <c r="AT26" s="31"/>
      <c r="AU26" s="55"/>
      <c r="AV26" s="55"/>
      <c r="AW26" s="29"/>
      <c r="AX26" s="27"/>
      <c r="AY26" s="43"/>
      <c r="AZ26" s="4"/>
      <c r="BA26" s="43"/>
      <c r="BB26" s="55"/>
      <c r="BC26" s="26"/>
      <c r="BD26" s="31">
        <v>250</v>
      </c>
      <c r="BE26" s="55"/>
      <c r="BF26" s="55"/>
      <c r="BG26" s="29"/>
      <c r="BH26" s="27"/>
      <c r="BI26" s="43"/>
      <c r="BJ26" s="4"/>
      <c r="BK26" s="43"/>
      <c r="BL26" s="55"/>
      <c r="BM26" s="26"/>
      <c r="BN26" s="31"/>
      <c r="BO26" s="55"/>
      <c r="BP26" s="55"/>
      <c r="BQ26" s="29"/>
      <c r="BR26" s="27"/>
      <c r="BT26" s="4"/>
      <c r="BU26" s="43"/>
      <c r="BV26" s="55"/>
      <c r="BW26" s="26"/>
      <c r="BX26" s="31"/>
      <c r="BY26" s="55"/>
      <c r="BZ26" s="55"/>
      <c r="CA26" s="29"/>
      <c r="CB26" s="27"/>
      <c r="CD26" s="1166"/>
      <c r="CE26" s="1167"/>
      <c r="CF26" s="1167"/>
      <c r="CG26" s="1167"/>
      <c r="CH26" s="1167"/>
      <c r="CI26" s="1167"/>
      <c r="CJ26" s="1167"/>
      <c r="CK26" s="29"/>
      <c r="CL26" s="27"/>
    </row>
    <row r="27" spans="2:90" x14ac:dyDescent="0.3">
      <c r="B27" s="1173"/>
      <c r="C27" s="1167"/>
      <c r="D27" s="1167"/>
      <c r="E27" s="1167"/>
      <c r="F27" s="1167"/>
      <c r="G27" s="1167"/>
      <c r="H27" s="1167"/>
      <c r="I27" s="29"/>
      <c r="J27" s="27"/>
      <c r="L27" s="4"/>
      <c r="M27" s="55"/>
      <c r="N27" s="55"/>
      <c r="O27" s="55"/>
      <c r="P27" s="55"/>
      <c r="Q27" s="55"/>
      <c r="R27" s="55"/>
      <c r="S27" s="29"/>
      <c r="T27" s="27"/>
      <c r="V27" s="4"/>
      <c r="W27" s="55"/>
      <c r="X27" s="55"/>
      <c r="Y27" s="55"/>
      <c r="Z27" s="55"/>
      <c r="AA27" s="55"/>
      <c r="AB27" s="55" t="str">
        <f>IF(Данные!AP42=TRUE,"ХХ","")</f>
        <v/>
      </c>
      <c r="AC27" s="26"/>
      <c r="AD27" s="27"/>
      <c r="AE27" s="43"/>
      <c r="AF27" s="4"/>
      <c r="AG27" s="55"/>
      <c r="AH27" s="55"/>
      <c r="AI27" s="55"/>
      <c r="AJ27" s="55"/>
      <c r="AK27" s="55"/>
      <c r="AL27" s="55"/>
      <c r="AM27" s="29"/>
      <c r="AN27" s="27"/>
      <c r="AO27" s="43"/>
      <c r="AP27" s="4"/>
      <c r="AQ27" s="55"/>
      <c r="AR27" s="55"/>
      <c r="AS27" s="55"/>
      <c r="AT27" s="55"/>
      <c r="AU27" s="55"/>
      <c r="AV27" s="55"/>
      <c r="AW27" s="29"/>
      <c r="AX27" s="27"/>
      <c r="AY27" s="43"/>
      <c r="AZ27" s="4"/>
      <c r="BA27" s="55"/>
      <c r="BB27" s="55"/>
      <c r="BC27" s="55"/>
      <c r="BD27" s="55"/>
      <c r="BE27" s="55"/>
      <c r="BF27" s="55"/>
      <c r="BG27" s="29" t="s">
        <v>1075</v>
      </c>
      <c r="BH27" s="27"/>
      <c r="BI27" s="43"/>
      <c r="BJ27" s="4"/>
      <c r="BK27" s="43"/>
      <c r="BL27" s="55"/>
      <c r="BM27" s="26"/>
      <c r="BN27" s="31"/>
      <c r="BO27" s="55"/>
      <c r="BP27" s="55"/>
      <c r="BQ27" s="29"/>
      <c r="BR27" s="27"/>
      <c r="BT27" s="4"/>
      <c r="BU27" s="43"/>
      <c r="BV27" s="55"/>
      <c r="BW27" s="26"/>
      <c r="BX27" s="31"/>
      <c r="BY27" s="55"/>
      <c r="BZ27" s="55"/>
      <c r="CA27" s="29"/>
      <c r="CB27" s="27"/>
      <c r="CD27" s="1166"/>
      <c r="CE27" s="1167"/>
      <c r="CF27" s="1167"/>
      <c r="CG27" s="1437"/>
      <c r="CH27" s="1167"/>
      <c r="CI27" s="1167"/>
      <c r="CJ27" s="1167"/>
      <c r="CK27" s="29"/>
      <c r="CL27" s="27"/>
    </row>
    <row r="28" spans="2:90" x14ac:dyDescent="0.3">
      <c r="B28" s="1166"/>
      <c r="C28" s="1167"/>
      <c r="D28" s="1167"/>
      <c r="E28" s="1167"/>
      <c r="F28" s="1167" t="s">
        <v>1112</v>
      </c>
      <c r="G28" s="1167"/>
      <c r="H28" s="1167" t="str">
        <f>IF(Данные!V42=TRUE,"ХХ","")</f>
        <v/>
      </c>
      <c r="I28" s="29"/>
      <c r="J28" s="27"/>
      <c r="L28" s="4"/>
      <c r="M28" s="55"/>
      <c r="N28" s="55"/>
      <c r="O28" s="55"/>
      <c r="P28" s="55"/>
      <c r="Q28" s="55"/>
      <c r="R28" s="55" t="str">
        <f>IF(Данные!AF42=TRUE,"ХХ","")</f>
        <v/>
      </c>
      <c r="S28" s="28"/>
      <c r="T28" s="27"/>
      <c r="V28" s="4"/>
      <c r="W28" s="55"/>
      <c r="X28" s="55"/>
      <c r="Y28" s="55"/>
      <c r="Z28" s="55"/>
      <c r="AA28" s="55"/>
      <c r="AB28" s="55" t="str">
        <f>IF(Данные!AP42=TRUE,"ХХ","")</f>
        <v/>
      </c>
      <c r="AC28" s="23"/>
      <c r="AD28" s="24"/>
      <c r="AE28" s="43"/>
      <c r="AF28" s="4"/>
      <c r="AG28" s="55"/>
      <c r="AH28" s="55"/>
      <c r="AI28" s="55"/>
      <c r="AJ28" s="55"/>
      <c r="AK28" s="55"/>
      <c r="AL28" s="55" t="str">
        <f>IF(Данные!AZ41=TRUE,"ХХ","")</f>
        <v/>
      </c>
      <c r="AM28" s="28"/>
      <c r="AN28" s="27"/>
      <c r="AO28" s="43"/>
      <c r="AP28" s="4"/>
      <c r="AQ28" s="55"/>
      <c r="AR28" s="55"/>
      <c r="AS28" s="55"/>
      <c r="AT28" s="55"/>
      <c r="AU28" s="55"/>
      <c r="AV28" s="55" t="str">
        <f>IF(Данные!BJ42=TRUE,"ХХ","")</f>
        <v/>
      </c>
      <c r="AW28" s="28"/>
      <c r="AX28" s="27"/>
      <c r="AY28" s="43"/>
      <c r="AZ28" s="4"/>
      <c r="BA28" s="55"/>
      <c r="BB28" s="55"/>
      <c r="BC28" s="55"/>
      <c r="BD28" s="55"/>
      <c r="BE28" s="55"/>
      <c r="BF28" s="55" t="str">
        <f>IF(Данные!BT42=TRUE,"ХХ","")</f>
        <v/>
      </c>
      <c r="BG28" s="28"/>
      <c r="BH28" s="27"/>
      <c r="BI28" s="43"/>
      <c r="BJ28" s="4"/>
      <c r="BK28" s="55"/>
      <c r="BL28" s="55"/>
      <c r="BM28" s="55"/>
      <c r="BN28" s="55"/>
      <c r="BO28" s="55"/>
      <c r="BP28" s="55"/>
      <c r="BQ28" s="29"/>
      <c r="BR28" s="27"/>
      <c r="BT28" s="4"/>
      <c r="BU28" s="55"/>
      <c r="BV28" s="55"/>
      <c r="BW28" s="55"/>
      <c r="BX28" s="55"/>
      <c r="BY28" s="55"/>
      <c r="BZ28" s="55"/>
      <c r="CA28" s="29"/>
      <c r="CB28" s="27"/>
      <c r="CD28" s="1166"/>
      <c r="CE28" s="1167"/>
      <c r="CF28" s="1167"/>
      <c r="CG28" s="1167"/>
      <c r="CH28" s="1167"/>
      <c r="CI28" s="1167"/>
      <c r="CJ28" s="1167"/>
      <c r="CK28" s="29"/>
      <c r="CL28" s="27"/>
    </row>
    <row r="29" spans="2:90" ht="15.6" x14ac:dyDescent="0.3">
      <c r="B29" s="1166"/>
      <c r="C29" s="1167"/>
      <c r="D29" s="1167"/>
      <c r="E29" s="1167"/>
      <c r="F29" s="1172" t="s">
        <v>1116</v>
      </c>
      <c r="G29" s="1167"/>
      <c r="H29" s="1167" t="str">
        <f>IF(Данные!V42=TRUE,"ХХ","")</f>
        <v/>
      </c>
      <c r="I29" s="29"/>
      <c r="J29" s="27"/>
      <c r="L29" s="4"/>
      <c r="M29" s="55"/>
      <c r="N29" s="55"/>
      <c r="O29" s="55"/>
      <c r="P29" s="55"/>
      <c r="Q29" s="55"/>
      <c r="R29" s="55" t="str">
        <f>IF(Данные!AF42=TRUE,"ХХ","")</f>
        <v/>
      </c>
      <c r="S29" s="26"/>
      <c r="T29" s="27"/>
      <c r="V29" s="4"/>
      <c r="W29" s="55"/>
      <c r="X29" s="55"/>
      <c r="Y29" s="55"/>
      <c r="Z29" s="55"/>
      <c r="AA29" s="55"/>
      <c r="AB29" s="122" t="str">
        <f>IF(Данные!AP42=TRUE,"ХХ","")</f>
        <v/>
      </c>
      <c r="AC29" s="23"/>
      <c r="AD29" s="24"/>
      <c r="AE29" s="43"/>
      <c r="AF29" s="4"/>
      <c r="AG29" s="55"/>
      <c r="AH29" s="55"/>
      <c r="AI29" s="55"/>
      <c r="AJ29" s="55"/>
      <c r="AK29" s="55"/>
      <c r="AL29" s="55" t="str">
        <f>IF(Данные!AZ41=TRUE,"ХХ","")</f>
        <v/>
      </c>
      <c r="AM29" s="26"/>
      <c r="AN29" s="27"/>
      <c r="AO29" s="43"/>
      <c r="AP29" s="4"/>
      <c r="AQ29" s="55"/>
      <c r="AR29" s="55"/>
      <c r="AS29" s="55"/>
      <c r="AT29" s="55"/>
      <c r="AU29" s="55"/>
      <c r="AV29" s="55" t="str">
        <f>IF(Данные!BJ42=TRUE,"ХХ","")</f>
        <v/>
      </c>
      <c r="AW29" s="26"/>
      <c r="AX29" s="27"/>
      <c r="AY29" s="43"/>
      <c r="AZ29" s="4"/>
      <c r="BA29" s="1099" t="s">
        <v>1074</v>
      </c>
      <c r="BB29" s="1099"/>
      <c r="BC29" s="1099"/>
      <c r="BD29" s="1099"/>
      <c r="BE29" s="1099"/>
      <c r="BF29" s="1099"/>
      <c r="BG29" s="26"/>
      <c r="BH29" s="27"/>
      <c r="BI29" s="43"/>
      <c r="BJ29" s="4"/>
      <c r="BK29" s="55"/>
      <c r="BL29" s="55"/>
      <c r="BM29" s="55"/>
      <c r="BN29" s="55"/>
      <c r="BO29" s="55"/>
      <c r="BP29" s="55" t="str">
        <f>IF(Данные!B42=TRUE,"ХХ","")</f>
        <v/>
      </c>
      <c r="BQ29" s="28"/>
      <c r="BR29" s="27"/>
      <c r="BT29" s="4"/>
      <c r="BU29" s="55"/>
      <c r="BV29" s="55"/>
      <c r="BW29" s="55"/>
      <c r="BX29" s="55"/>
      <c r="BY29" s="55"/>
      <c r="BZ29" s="55" t="str">
        <f>IF(Данные!L42=TRUE,"ХХ","")</f>
        <v/>
      </c>
      <c r="CA29" s="28"/>
      <c r="CB29" s="27"/>
      <c r="CD29" s="1166"/>
      <c r="CE29" s="1167"/>
      <c r="CF29" s="1167"/>
      <c r="CG29" s="1437"/>
      <c r="CH29" s="1172"/>
      <c r="CI29" s="1167"/>
      <c r="CJ29" s="1167"/>
      <c r="CK29" s="23"/>
      <c r="CL29" s="24"/>
    </row>
    <row r="30" spans="2:90" ht="15.6" x14ac:dyDescent="0.3">
      <c r="B30" s="1166"/>
      <c r="C30" s="1167"/>
      <c r="D30" s="1167"/>
      <c r="E30" s="1167"/>
      <c r="F30" s="1167"/>
      <c r="G30" s="1167"/>
      <c r="H30" s="1167" t="str">
        <f>IF(Данные!V42=TRUE,"ХХ","")</f>
        <v/>
      </c>
      <c r="I30" s="23"/>
      <c r="J30" s="24"/>
      <c r="L30" s="4"/>
      <c r="M30" s="55"/>
      <c r="N30" s="55"/>
      <c r="O30" s="55"/>
      <c r="P30" s="55"/>
      <c r="Q30" s="55"/>
      <c r="R30" s="55" t="str">
        <f>IF(Данные!AF42=TRUE,"ХХ","")</f>
        <v/>
      </c>
      <c r="S30" s="23"/>
      <c r="T30" s="24"/>
      <c r="V30" s="4"/>
      <c r="W30" s="55"/>
      <c r="X30" s="55" t="str">
        <f>IF(Данные!AP38=TRUE,"ХХХХХХХХХХХХХХХХХХХХХХХХХХХХХХХХХХХ","")</f>
        <v/>
      </c>
      <c r="Y30" s="59"/>
      <c r="Z30" s="55"/>
      <c r="AA30" s="55"/>
      <c r="AB30" s="55"/>
      <c r="AC30" s="23"/>
      <c r="AD30" s="24"/>
      <c r="AE30" s="43"/>
      <c r="AF30" s="4"/>
      <c r="AG30" s="55"/>
      <c r="AH30" s="55"/>
      <c r="AI30" s="55"/>
      <c r="AJ30" s="55"/>
      <c r="AK30" s="55"/>
      <c r="AL30" s="55" t="str">
        <f>IF(Данные!AZ41=TRUE,"ХХ","")</f>
        <v/>
      </c>
      <c r="AM30" s="23"/>
      <c r="AN30" s="24"/>
      <c r="AO30" s="43"/>
      <c r="AP30" s="4"/>
      <c r="AQ30" s="55"/>
      <c r="AR30" s="55"/>
      <c r="AS30" s="55"/>
      <c r="AT30" s="55"/>
      <c r="AU30" s="55"/>
      <c r="AV30" s="55" t="str">
        <f>IF(Данные!BJ42=TRUE,"ХХ","")</f>
        <v/>
      </c>
      <c r="AW30" s="23"/>
      <c r="AX30" s="24"/>
      <c r="AY30" s="43"/>
      <c r="AZ30" s="4"/>
      <c r="BA30" s="55"/>
      <c r="BB30" s="55"/>
      <c r="BC30" s="1110" t="s">
        <v>1070</v>
      </c>
      <c r="BD30" s="55"/>
      <c r="BE30" s="55"/>
      <c r="BF30" s="55" t="str">
        <f>IF(Данные!BT42=TRUE,"ХХ","")</f>
        <v/>
      </c>
      <c r="BG30" s="23"/>
      <c r="BH30" s="24"/>
      <c r="BI30" s="43"/>
      <c r="BJ30" s="4"/>
      <c r="BK30" s="55"/>
      <c r="BL30" s="55"/>
      <c r="BM30" s="55"/>
      <c r="BN30" s="55"/>
      <c r="BO30" s="55"/>
      <c r="BP30" s="55" t="str">
        <f>IF(Данные!B42=TRUE,"ХХ","")</f>
        <v/>
      </c>
      <c r="BQ30" s="26"/>
      <c r="BR30" s="27"/>
      <c r="BT30" s="4"/>
      <c r="BU30" s="55"/>
      <c r="BV30" s="55"/>
      <c r="BW30" s="55"/>
      <c r="BX30" s="55"/>
      <c r="BY30" s="55"/>
      <c r="BZ30" s="55" t="str">
        <f>IF(Данные!L42=TRUE,"ХХ","")</f>
        <v/>
      </c>
      <c r="CA30" s="26"/>
      <c r="CB30" s="27"/>
      <c r="CD30" s="4"/>
      <c r="CE30" s="55"/>
      <c r="CF30" s="55"/>
      <c r="CG30" s="55"/>
      <c r="CH30" s="55"/>
      <c r="CI30" s="55"/>
      <c r="CJ30" s="122"/>
      <c r="CK30" s="23"/>
      <c r="CL30" s="24"/>
    </row>
    <row r="31" spans="2:90" x14ac:dyDescent="0.3">
      <c r="B31" s="1166"/>
      <c r="C31" s="1167"/>
      <c r="D31" s="1167"/>
      <c r="E31" s="1167"/>
      <c r="F31" s="1167" t="s">
        <v>1111</v>
      </c>
      <c r="G31" s="1167"/>
      <c r="H31" s="1170" t="str">
        <f>IF(Данные!V42=TRUE,"ХХ","")</f>
        <v/>
      </c>
      <c r="I31" s="23"/>
      <c r="J31" s="24"/>
      <c r="L31" s="4"/>
      <c r="M31" s="55"/>
      <c r="N31" s="55"/>
      <c r="O31" s="55"/>
      <c r="P31" s="55"/>
      <c r="Q31" s="55"/>
      <c r="R31" s="122" t="str">
        <f>IF(Данные!AF42=TRUE,"ХХ","")</f>
        <v/>
      </c>
      <c r="S31" s="23"/>
      <c r="T31" s="24"/>
      <c r="V31" s="4"/>
      <c r="W31" s="124"/>
      <c r="X31" s="55"/>
      <c r="Y31" s="55"/>
      <c r="Z31" s="55"/>
      <c r="AA31" s="55"/>
      <c r="AB31" s="55"/>
      <c r="AC31" s="23"/>
      <c r="AD31" s="24"/>
      <c r="AE31" s="43"/>
      <c r="AF31" s="4"/>
      <c r="AG31" s="55"/>
      <c r="AH31" s="55"/>
      <c r="AI31" s="55"/>
      <c r="AJ31" s="55"/>
      <c r="AK31" s="55"/>
      <c r="AL31" s="122" t="str">
        <f>IF(Данные!AZ41=TRUE,"ХХ","")</f>
        <v/>
      </c>
      <c r="AM31" s="23"/>
      <c r="AN31" s="24"/>
      <c r="AO31" s="43"/>
      <c r="AP31" s="4"/>
      <c r="AQ31" s="55"/>
      <c r="AR31" s="55"/>
      <c r="AS31" s="55"/>
      <c r="AT31" s="55"/>
      <c r="AU31" s="55"/>
      <c r="AV31" s="122" t="str">
        <f>IF(Данные!BJ42=TRUE,"ХХ","")</f>
        <v/>
      </c>
      <c r="AW31" s="23"/>
      <c r="AX31" s="24"/>
      <c r="AY31" s="43"/>
      <c r="AZ31" s="4"/>
      <c r="BA31" s="55"/>
      <c r="BB31" s="55"/>
      <c r="BC31" s="55"/>
      <c r="BD31" s="55"/>
      <c r="BE31" s="55"/>
      <c r="BF31" s="122" t="str">
        <f>IF(Данные!BT42=TRUE,"ХХ","")</f>
        <v/>
      </c>
      <c r="BG31" s="23"/>
      <c r="BH31" s="24"/>
      <c r="BI31" s="43"/>
      <c r="BJ31" s="4"/>
      <c r="BK31" s="55"/>
      <c r="BL31" s="55"/>
      <c r="BM31" s="55"/>
      <c r="BN31" s="55"/>
      <c r="BO31" s="55"/>
      <c r="BP31" s="55" t="str">
        <f>IF(Данные!B42=TRUE,"ХХ","")</f>
        <v/>
      </c>
      <c r="BQ31" s="23"/>
      <c r="BR31" s="24"/>
      <c r="BT31" s="4"/>
      <c r="BU31" s="55"/>
      <c r="BV31" s="55"/>
      <c r="BW31" s="55"/>
      <c r="BX31" s="55"/>
      <c r="BY31" s="55"/>
      <c r="BZ31" s="55" t="str">
        <f>IF(Данные!L42=TRUE,"ХХ","")</f>
        <v/>
      </c>
      <c r="CA31" s="23"/>
      <c r="CB31" s="24"/>
      <c r="CD31" s="4"/>
      <c r="CE31" s="55"/>
      <c r="CF31" s="55"/>
      <c r="CG31" s="59"/>
      <c r="CH31" s="55"/>
      <c r="CI31" s="55"/>
      <c r="CJ31" s="55"/>
      <c r="CK31" s="23"/>
      <c r="CL31" s="24"/>
    </row>
    <row r="32" spans="2:90" x14ac:dyDescent="0.3">
      <c r="B32" s="1166"/>
      <c r="C32" s="1167"/>
      <c r="D32" s="1167" t="str">
        <f>IF(Данные!V38=TRUE,"ХХХХХХХХХХХХХХХХХХХХХХХХХХХХХХХХХХХ","")</f>
        <v/>
      </c>
      <c r="E32" s="23"/>
      <c r="F32" s="1167" t="s">
        <v>1117</v>
      </c>
      <c r="G32" s="1167"/>
      <c r="H32" s="1167"/>
      <c r="I32" s="23"/>
      <c r="J32" s="24"/>
      <c r="L32" s="4"/>
      <c r="M32" s="55"/>
      <c r="N32" s="55" t="str">
        <f>IF(Данные!AF38=TRUE,"ХХХХХХХХХХХХХХХХХХХХХХХХХХХХХХХХХХХ","")</f>
        <v/>
      </c>
      <c r="O32" s="59"/>
      <c r="P32" s="55"/>
      <c r="Q32" s="55"/>
      <c r="R32" s="55"/>
      <c r="S32" s="23"/>
      <c r="T32" s="24"/>
      <c r="V32" s="4"/>
      <c r="W32" s="55"/>
      <c r="X32" s="55"/>
      <c r="Y32" s="55"/>
      <c r="Z32" s="55"/>
      <c r="AA32" s="59"/>
      <c r="AB32" s="55"/>
      <c r="AC32" s="55"/>
      <c r="AD32" s="24"/>
      <c r="AE32" s="43"/>
      <c r="AF32" s="4"/>
      <c r="AG32" s="55"/>
      <c r="AH32" s="55" t="str">
        <f>IF(Данные!AZ37=TRUE,"ХХХХХХХХХХХХХХХХХХХХХХХХХХХХХХХХХХХ","")</f>
        <v/>
      </c>
      <c r="AI32" s="43"/>
      <c r="AJ32" s="55"/>
      <c r="AK32" s="55"/>
      <c r="AL32" s="55"/>
      <c r="AM32" s="23"/>
      <c r="AN32" s="24"/>
      <c r="AO32" s="43"/>
      <c r="AP32" s="4"/>
      <c r="AQ32" s="55"/>
      <c r="AR32" s="55" t="str">
        <f>IF(Данные!BJ38=TRUE,"ХХХХХХХХХХХХХХХХХХХХХХХХХХХХХХХХХХХ","")</f>
        <v/>
      </c>
      <c r="AS32" s="43"/>
      <c r="AT32" s="55"/>
      <c r="AU32" s="55"/>
      <c r="AV32" s="55"/>
      <c r="AW32" s="23"/>
      <c r="AX32" s="24"/>
      <c r="AY32" s="43"/>
      <c r="AZ32" s="4"/>
      <c r="BA32" s="55"/>
      <c r="BB32" s="55" t="str">
        <f>IF(Данные!BT38=TRUE,"ХХХХХХХХХХХХХХХХХХХХХХХХХХХХХХХХХХХ","")</f>
        <v/>
      </c>
      <c r="BC32" s="43"/>
      <c r="BD32" s="55"/>
      <c r="BE32" s="55"/>
      <c r="BF32" s="55"/>
      <c r="BG32" s="23"/>
      <c r="BH32" s="24"/>
      <c r="BI32" s="43"/>
      <c r="BJ32" s="4"/>
      <c r="BK32" s="55"/>
      <c r="BL32" s="55"/>
      <c r="BM32" s="55"/>
      <c r="BN32" s="55"/>
      <c r="BO32" s="55"/>
      <c r="BP32" s="122" t="str">
        <f>IF(Данные!B42=TRUE,"ХХ","")</f>
        <v/>
      </c>
      <c r="BQ32" s="23"/>
      <c r="BR32" s="24"/>
      <c r="BT32" s="4"/>
      <c r="BU32" s="55"/>
      <c r="BV32" s="55"/>
      <c r="BW32" s="55"/>
      <c r="BX32" s="55"/>
      <c r="BY32" s="55"/>
      <c r="BZ32" s="122" t="str">
        <f>IF(Данные!L42=TRUE,"ХХ","")</f>
        <v/>
      </c>
      <c r="CA32" s="23"/>
      <c r="CB32" s="24"/>
      <c r="CD32" s="4"/>
      <c r="CE32" s="124"/>
      <c r="CF32" s="55"/>
      <c r="CG32" s="55"/>
      <c r="CH32" s="55"/>
      <c r="CI32" s="55"/>
      <c r="CJ32" s="55"/>
      <c r="CK32" s="23"/>
      <c r="CL32" s="24"/>
    </row>
    <row r="33" spans="2:90" ht="16.2" thickBot="1" x14ac:dyDescent="0.35">
      <c r="B33" s="1166"/>
      <c r="C33" s="1167"/>
      <c r="D33" s="1167"/>
      <c r="E33" s="1167"/>
      <c r="F33" s="1167"/>
      <c r="G33" s="1167"/>
      <c r="H33" s="1167"/>
      <c r="I33" s="23"/>
      <c r="J33" s="24"/>
      <c r="L33" s="4"/>
      <c r="M33" s="124"/>
      <c r="N33" s="55"/>
      <c r="O33" s="55"/>
      <c r="P33" s="55"/>
      <c r="Q33" s="55"/>
      <c r="R33" s="55"/>
      <c r="S33" s="23"/>
      <c r="T33" s="24"/>
      <c r="V33" s="19"/>
      <c r="W33" s="123" t="str">
        <f>IF(OR(Данные!AP38=TRUE,Данные!AP42=TRUE),"Использовать холодильники","")</f>
        <v/>
      </c>
      <c r="X33" s="20"/>
      <c r="Y33" s="130"/>
      <c r="Z33" s="20"/>
      <c r="AA33" s="65"/>
      <c r="AB33" s="20"/>
      <c r="AC33" s="20"/>
      <c r="AD33" s="72"/>
      <c r="AE33" s="43"/>
      <c r="AF33" s="4"/>
      <c r="AG33" s="124"/>
      <c r="AH33" s="55"/>
      <c r="AI33" s="55"/>
      <c r="AJ33" s="55"/>
      <c r="AK33" s="55"/>
      <c r="AL33" s="55"/>
      <c r="AM33" s="23"/>
      <c r="AN33" s="24"/>
      <c r="AO33" s="43"/>
      <c r="AP33" s="4"/>
      <c r="AQ33" s="124"/>
      <c r="AR33" s="55"/>
      <c r="AS33" s="55"/>
      <c r="AT33" s="55"/>
      <c r="AU33" s="55"/>
      <c r="AV33" s="55"/>
      <c r="AW33" s="23"/>
      <c r="AX33" s="24"/>
      <c r="AY33" s="43"/>
      <c r="AZ33" s="4"/>
      <c r="BA33" s="124"/>
      <c r="BB33" s="55"/>
      <c r="BC33" s="55"/>
      <c r="BD33" s="55"/>
      <c r="BE33" s="55"/>
      <c r="BF33" s="55"/>
      <c r="BG33" s="23"/>
      <c r="BH33" s="24"/>
      <c r="BI33" s="43"/>
      <c r="BJ33" s="4"/>
      <c r="BK33" s="55"/>
      <c r="BL33" s="55" t="str">
        <f>IF(Данные!B38=TRUE,"ХХХХХХХХХХХХХХХХХХХХХХХХХХХХХХХХХХХ","")</f>
        <v/>
      </c>
      <c r="BM33" s="43"/>
      <c r="BN33" s="55"/>
      <c r="BO33" s="55"/>
      <c r="BP33" s="55"/>
      <c r="BQ33" s="23"/>
      <c r="BR33" s="24"/>
      <c r="BT33" s="4"/>
      <c r="BU33" s="55"/>
      <c r="BV33" s="55" t="str">
        <f>IF(Данные!L38=TRUE,"ХХХХХХХХХХХХХХХХХХХХХХХХХХХХХХХХХХХ","")</f>
        <v/>
      </c>
      <c r="BW33" s="43"/>
      <c r="BX33" s="55"/>
      <c r="BY33" s="55"/>
      <c r="BZ33" s="55"/>
      <c r="CA33" s="23"/>
      <c r="CB33" s="24"/>
      <c r="CD33" s="4"/>
      <c r="CK33" s="55"/>
      <c r="CL33" s="24"/>
    </row>
    <row r="34" spans="2:90" ht="21" x14ac:dyDescent="0.4">
      <c r="B34" s="4"/>
      <c r="C34" s="55"/>
      <c r="D34" s="55"/>
      <c r="E34" s="55"/>
      <c r="F34" s="55"/>
      <c r="G34" s="59"/>
      <c r="H34" s="55"/>
      <c r="I34" s="55"/>
      <c r="J34" s="24"/>
      <c r="L34" s="4"/>
      <c r="M34" s="55"/>
      <c r="N34" s="55"/>
      <c r="O34" s="55"/>
      <c r="P34" s="55"/>
      <c r="Q34" s="59"/>
      <c r="R34" s="55"/>
      <c r="S34" s="55"/>
      <c r="T34" s="24"/>
      <c r="V34" s="4"/>
      <c r="W34" s="55" t="s">
        <v>263</v>
      </c>
      <c r="X34" s="55"/>
      <c r="Y34" s="55"/>
      <c r="Z34" s="53" t="s">
        <v>53</v>
      </c>
      <c r="AA34" s="55"/>
      <c r="AB34" s="55"/>
      <c r="AC34" s="55"/>
      <c r="AD34" s="10"/>
      <c r="AE34" s="43"/>
      <c r="AF34" s="4"/>
      <c r="AG34" s="55"/>
      <c r="AH34" s="55"/>
      <c r="AI34" s="55"/>
      <c r="AJ34" s="55"/>
      <c r="AK34" s="43"/>
      <c r="AL34" s="55"/>
      <c r="AM34" s="55"/>
      <c r="AN34" s="24"/>
      <c r="AO34" s="43"/>
      <c r="AP34" s="4"/>
      <c r="AQ34" s="55"/>
      <c r="AR34" s="55"/>
      <c r="AS34" s="55"/>
      <c r="AT34" s="55"/>
      <c r="AU34" s="43"/>
      <c r="AV34" s="55"/>
      <c r="AW34" s="55"/>
      <c r="AX34" s="24"/>
      <c r="AY34" s="43"/>
      <c r="AZ34" s="4"/>
      <c r="BA34" s="1109" t="s">
        <v>1071</v>
      </c>
      <c r="BB34" s="55"/>
      <c r="BC34" s="55"/>
      <c r="BD34" s="55"/>
      <c r="BE34" s="43"/>
      <c r="BF34" s="55"/>
      <c r="BG34" s="55"/>
      <c r="BH34" s="24"/>
      <c r="BI34" s="43"/>
      <c r="BJ34" s="4"/>
      <c r="BK34" s="124"/>
      <c r="BL34" s="55"/>
      <c r="BM34" s="55"/>
      <c r="BN34" s="55"/>
      <c r="BO34" s="55"/>
      <c r="BP34" s="55"/>
      <c r="BQ34" s="23"/>
      <c r="BR34" s="24"/>
      <c r="BT34" s="4"/>
      <c r="BU34" s="124"/>
      <c r="BV34" s="55"/>
      <c r="BW34" s="55"/>
      <c r="BX34" s="55"/>
      <c r="BY34" s="55"/>
      <c r="BZ34" s="55"/>
      <c r="CA34" s="23"/>
      <c r="CB34" s="24"/>
      <c r="CD34" s="4"/>
      <c r="CI34" s="59"/>
      <c r="CJ34" s="55"/>
      <c r="CK34" s="55"/>
      <c r="CL34" s="24"/>
    </row>
    <row r="35" spans="2:90" ht="16.2" thickBot="1" x14ac:dyDescent="0.35">
      <c r="B35" s="19"/>
      <c r="C35" s="123" t="str">
        <f>IF(OR(Данные!V38=TRUE,Данные!V42=TRUE),"Использовать холодильники","")</f>
        <v/>
      </c>
      <c r="D35" s="20"/>
      <c r="E35" s="130"/>
      <c r="F35" s="20"/>
      <c r="G35" s="65"/>
      <c r="H35" s="20"/>
      <c r="I35" s="20" t="s">
        <v>1120</v>
      </c>
      <c r="J35" s="72"/>
      <c r="L35" s="19"/>
      <c r="M35" s="123" t="str">
        <f>IF(OR(Данные!AF38=TRUE,Данные!AF42=TRUE),"Использовать холодильники","")</f>
        <v/>
      </c>
      <c r="N35" s="20"/>
      <c r="O35" s="130"/>
      <c r="P35" s="20"/>
      <c r="Q35" s="65"/>
      <c r="R35" s="20"/>
      <c r="S35" s="20"/>
      <c r="T35" s="72"/>
      <c r="V35" s="4"/>
      <c r="W35" s="55" t="s">
        <v>59</v>
      </c>
      <c r="X35" s="55"/>
      <c r="Y35" s="55"/>
      <c r="Z35" s="52" t="s">
        <v>90</v>
      </c>
      <c r="AA35" s="55"/>
      <c r="AB35" s="55"/>
      <c r="AC35" s="55"/>
      <c r="AD35" s="10"/>
      <c r="AE35" s="43"/>
      <c r="AF35" s="19"/>
      <c r="AG35" s="123" t="str">
        <f>IF(OR(Данные!AZ37=TRUE,Данные!AZ41=TRUE),"Использовать холодильники","")</f>
        <v/>
      </c>
      <c r="AH35" s="20"/>
      <c r="AI35" s="130"/>
      <c r="AJ35" s="20"/>
      <c r="AK35" s="65"/>
      <c r="AL35" s="20"/>
      <c r="AM35" s="20"/>
      <c r="AN35" s="72"/>
      <c r="AO35" s="43"/>
      <c r="AP35" s="19"/>
      <c r="AQ35" s="123" t="str">
        <f>IF(OR(Данные!BJ38=TRUE,Данные!BJ42=TRUE),"Использовать холодильники","")</f>
        <v/>
      </c>
      <c r="AR35" s="20"/>
      <c r="AS35" s="130"/>
      <c r="AT35" s="20"/>
      <c r="AU35" s="65"/>
      <c r="AV35" s="20"/>
      <c r="AW35" s="20"/>
      <c r="AX35" s="72"/>
      <c r="AY35" s="43"/>
      <c r="AZ35" s="19"/>
      <c r="BA35" s="123" t="str">
        <f>IF(OR(Данные!BT38=TRUE,Данные!BT42=TRUE),"Использовать холодильники","")</f>
        <v/>
      </c>
      <c r="BB35" s="20"/>
      <c r="BC35" s="130"/>
      <c r="BD35" s="20"/>
      <c r="BE35" s="65"/>
      <c r="BF35" s="20"/>
      <c r="BG35" s="20"/>
      <c r="BH35" s="72"/>
      <c r="BI35" s="43"/>
      <c r="BJ35" s="4"/>
      <c r="BK35" s="55"/>
      <c r="BL35" s="55"/>
      <c r="BM35" s="55"/>
      <c r="BN35" s="55"/>
      <c r="BO35" s="43"/>
      <c r="BP35" s="55"/>
      <c r="BQ35" s="55"/>
      <c r="BR35" s="24"/>
      <c r="BT35" s="4"/>
      <c r="BU35" s="55"/>
      <c r="BV35" s="55"/>
      <c r="BW35" s="55"/>
      <c r="BX35" s="55"/>
      <c r="BY35" s="43"/>
      <c r="BZ35" s="55"/>
      <c r="CA35" s="55"/>
      <c r="CB35" s="24"/>
      <c r="CD35" s="19"/>
      <c r="CE35" s="123" t="str">
        <f>IF(OR(Данные!CX39=TRUE,Данные!CX43=TRUE),"Использовать холодильники","")</f>
        <v/>
      </c>
      <c r="CF35" s="20"/>
      <c r="CG35" s="130"/>
      <c r="CH35" s="20"/>
      <c r="CI35" s="65"/>
      <c r="CJ35" s="20"/>
      <c r="CK35" s="20"/>
      <c r="CL35" s="72"/>
    </row>
    <row r="36" spans="2:90" ht="16.2" thickBot="1" x14ac:dyDescent="0.35">
      <c r="B36" s="4"/>
      <c r="C36" s="55" t="s">
        <v>263</v>
      </c>
      <c r="D36" s="55"/>
      <c r="E36" s="55"/>
      <c r="F36" s="53" t="s">
        <v>53</v>
      </c>
      <c r="G36" s="55"/>
      <c r="H36" s="55"/>
      <c r="I36" s="55"/>
      <c r="J36" s="10"/>
      <c r="L36" s="4"/>
      <c r="M36" s="55" t="s">
        <v>263</v>
      </c>
      <c r="N36" s="55"/>
      <c r="O36" s="55"/>
      <c r="P36" s="53" t="s">
        <v>53</v>
      </c>
      <c r="Q36" s="55"/>
      <c r="R36" s="55"/>
      <c r="S36" s="55"/>
      <c r="T36" s="10"/>
      <c r="V36" s="4"/>
      <c r="W36" s="55" t="s">
        <v>54</v>
      </c>
      <c r="X36" s="55"/>
      <c r="Y36" s="55"/>
      <c r="Z36" s="53" t="s">
        <v>55</v>
      </c>
      <c r="AA36" s="55"/>
      <c r="AB36" s="55"/>
      <c r="AC36" s="55"/>
      <c r="AD36" s="10"/>
      <c r="AE36" s="43"/>
      <c r="AF36" s="4"/>
      <c r="AG36" s="55" t="s">
        <v>263</v>
      </c>
      <c r="AH36" s="55"/>
      <c r="AI36" s="55"/>
      <c r="AJ36" s="53" t="s">
        <v>53</v>
      </c>
      <c r="AK36" s="55"/>
      <c r="AL36" s="55"/>
      <c r="AM36" s="55"/>
      <c r="AN36" s="10"/>
      <c r="AO36" s="43"/>
      <c r="AP36" s="4"/>
      <c r="AQ36" s="55" t="s">
        <v>263</v>
      </c>
      <c r="AR36" s="55"/>
      <c r="AS36" s="55"/>
      <c r="AT36" s="53" t="s">
        <v>53</v>
      </c>
      <c r="AU36" s="55"/>
      <c r="AV36" s="55"/>
      <c r="AW36" s="55"/>
      <c r="AX36" s="10"/>
      <c r="AY36" s="43"/>
      <c r="AZ36" s="4"/>
      <c r="BA36" s="55" t="s">
        <v>263</v>
      </c>
      <c r="BB36" s="55"/>
      <c r="BC36" s="55"/>
      <c r="BD36" s="53" t="s">
        <v>53</v>
      </c>
      <c r="BE36" s="55"/>
      <c r="BF36" s="55"/>
      <c r="BG36" s="55"/>
      <c r="BH36" s="10"/>
      <c r="BI36" s="43"/>
      <c r="BJ36" s="19"/>
      <c r="BK36" s="123" t="str">
        <f>IF(OR(Данные!B38=TRUE,Данные!B42=TRUE),"Использовать холодильники","")</f>
        <v/>
      </c>
      <c r="BL36" s="20"/>
      <c r="BM36" s="130"/>
      <c r="BN36" s="20"/>
      <c r="BO36" s="65"/>
      <c r="BP36" s="20"/>
      <c r="BQ36" s="20"/>
      <c r="BR36" s="72"/>
      <c r="BT36" s="19"/>
      <c r="BU36" s="123" t="str">
        <f>IF(OR(Данные!L38=TRUE,Данные!L42=TRUE),"Использовать холодильники","")</f>
        <v/>
      </c>
      <c r="BV36" s="20"/>
      <c r="BW36" s="130"/>
      <c r="BX36" s="20"/>
      <c r="BY36" s="65"/>
      <c r="BZ36" s="20"/>
      <c r="CA36" s="20"/>
      <c r="CB36" s="72"/>
      <c r="CD36" s="4"/>
      <c r="CE36" s="55" t="s">
        <v>263</v>
      </c>
      <c r="CF36" s="55"/>
      <c r="CG36" s="55"/>
      <c r="CH36" s="53" t="s">
        <v>53</v>
      </c>
      <c r="CI36" s="55"/>
      <c r="CJ36" s="55"/>
      <c r="CK36" s="55"/>
      <c r="CL36" s="10"/>
    </row>
    <row r="37" spans="2:90" x14ac:dyDescent="0.3">
      <c r="B37" s="4"/>
      <c r="C37" s="55" t="s">
        <v>59</v>
      </c>
      <c r="D37" s="55"/>
      <c r="E37" s="55"/>
      <c r="F37" s="52" t="s">
        <v>90</v>
      </c>
      <c r="G37" s="55"/>
      <c r="H37" s="55"/>
      <c r="I37" s="55"/>
      <c r="J37" s="10"/>
      <c r="L37" s="4"/>
      <c r="M37" s="55" t="s">
        <v>59</v>
      </c>
      <c r="N37" s="55"/>
      <c r="O37" s="55"/>
      <c r="P37" s="52" t="s">
        <v>90</v>
      </c>
      <c r="Q37" s="55"/>
      <c r="R37" s="55"/>
      <c r="S37" s="55"/>
      <c r="T37" s="10"/>
      <c r="V37" s="4"/>
      <c r="W37" s="55" t="s">
        <v>65</v>
      </c>
      <c r="X37" s="55"/>
      <c r="Y37" s="17"/>
      <c r="Z37" s="17" t="s">
        <v>66</v>
      </c>
      <c r="AA37" s="55"/>
      <c r="AB37" s="55"/>
      <c r="AC37" s="55"/>
      <c r="AD37" s="10"/>
      <c r="AE37" s="43"/>
      <c r="AF37" s="4"/>
      <c r="AG37" s="55" t="s">
        <v>59</v>
      </c>
      <c r="AH37" s="55"/>
      <c r="AI37" s="55"/>
      <c r="AJ37" s="52" t="s">
        <v>90</v>
      </c>
      <c r="AK37" s="55"/>
      <c r="AL37" s="55"/>
      <c r="AM37" s="55"/>
      <c r="AN37" s="10"/>
      <c r="AO37" s="43"/>
      <c r="AP37" s="4"/>
      <c r="AQ37" s="55" t="s">
        <v>59</v>
      </c>
      <c r="AR37" s="55"/>
      <c r="AS37" s="55"/>
      <c r="AT37" s="52" t="s">
        <v>90</v>
      </c>
      <c r="AU37" s="55"/>
      <c r="AV37" s="55"/>
      <c r="AW37" s="55"/>
      <c r="AX37" s="10"/>
      <c r="AY37" s="43"/>
      <c r="AZ37" s="4"/>
      <c r="BA37" s="55" t="s">
        <v>59</v>
      </c>
      <c r="BB37" s="55"/>
      <c r="BC37" s="55"/>
      <c r="BD37" s="52" t="s">
        <v>90</v>
      </c>
      <c r="BE37" s="55"/>
      <c r="BF37" s="55"/>
      <c r="BG37" s="55"/>
      <c r="BH37" s="10"/>
      <c r="BI37" s="43"/>
      <c r="BJ37" s="4"/>
      <c r="BK37" s="55" t="s">
        <v>263</v>
      </c>
      <c r="BL37" s="55"/>
      <c r="BM37" s="55"/>
      <c r="BN37" s="53" t="s">
        <v>53</v>
      </c>
      <c r="BO37" s="55"/>
      <c r="BP37" s="55"/>
      <c r="BQ37" s="55"/>
      <c r="BR37" s="10"/>
      <c r="BT37" s="4"/>
      <c r="BU37" s="55" t="s">
        <v>263</v>
      </c>
      <c r="BV37" s="55"/>
      <c r="BW37" s="55"/>
      <c r="BX37" s="53" t="s">
        <v>53</v>
      </c>
      <c r="BY37" s="55"/>
      <c r="BZ37" s="55"/>
      <c r="CA37" s="55"/>
      <c r="CB37" s="10"/>
      <c r="CD37" s="4"/>
      <c r="CE37" s="55" t="s">
        <v>54</v>
      </c>
      <c r="CF37" s="55"/>
      <c r="CG37" s="55"/>
      <c r="CH37" s="53" t="s">
        <v>55</v>
      </c>
      <c r="CI37" s="55"/>
      <c r="CJ37" s="55"/>
      <c r="CK37" s="55"/>
      <c r="CL37" s="10"/>
    </row>
    <row r="38" spans="2:90" ht="15" thickBot="1" x14ac:dyDescent="0.35">
      <c r="B38" s="4"/>
      <c r="C38" s="55" t="s">
        <v>54</v>
      </c>
      <c r="D38" s="55"/>
      <c r="E38" s="55"/>
      <c r="F38" s="53" t="s">
        <v>55</v>
      </c>
      <c r="G38" s="55"/>
      <c r="H38" s="55"/>
      <c r="I38" s="55"/>
      <c r="J38" s="10"/>
      <c r="L38" s="4"/>
      <c r="M38" s="55" t="s">
        <v>54</v>
      </c>
      <c r="N38" s="55"/>
      <c r="O38" s="55"/>
      <c r="P38" s="53" t="s">
        <v>55</v>
      </c>
      <c r="Q38" s="55"/>
      <c r="R38" s="55"/>
      <c r="S38" s="55"/>
      <c r="T38" s="10"/>
      <c r="V38" s="4"/>
      <c r="W38" s="55" t="s">
        <v>93</v>
      </c>
      <c r="X38" s="55"/>
      <c r="Y38" s="17"/>
      <c r="Z38" s="17" t="s">
        <v>57</v>
      </c>
      <c r="AA38" s="55"/>
      <c r="AB38" s="55"/>
      <c r="AC38" s="55"/>
      <c r="AD38" s="10"/>
      <c r="AE38" s="43"/>
      <c r="AF38" s="4"/>
      <c r="AG38" s="55" t="s">
        <v>54</v>
      </c>
      <c r="AH38" s="55"/>
      <c r="AI38" s="55"/>
      <c r="AJ38" s="53" t="s">
        <v>55</v>
      </c>
      <c r="AK38" s="55"/>
      <c r="AL38" s="55"/>
      <c r="AM38" s="55"/>
      <c r="AN38" s="10"/>
      <c r="AO38" s="43"/>
      <c r="AP38" s="4"/>
      <c r="AQ38" s="55" t="s">
        <v>54</v>
      </c>
      <c r="AR38" s="55"/>
      <c r="AS38" s="55"/>
      <c r="AT38" s="53" t="s">
        <v>55</v>
      </c>
      <c r="AU38" s="55"/>
      <c r="AV38" s="55"/>
      <c r="AW38" s="55"/>
      <c r="AX38" s="10"/>
      <c r="AY38" s="43"/>
      <c r="AZ38" s="4"/>
      <c r="BA38" s="55" t="s">
        <v>54</v>
      </c>
      <c r="BB38" s="55"/>
      <c r="BC38" s="55"/>
      <c r="BD38" s="53" t="s">
        <v>55</v>
      </c>
      <c r="BE38" s="55"/>
      <c r="BF38" s="55"/>
      <c r="BG38" s="55"/>
      <c r="BH38" s="10"/>
      <c r="BI38" s="43"/>
      <c r="BJ38" s="4"/>
      <c r="BK38" s="55" t="s">
        <v>59</v>
      </c>
      <c r="BL38" s="55"/>
      <c r="BM38" s="55"/>
      <c r="BN38" s="52" t="s">
        <v>90</v>
      </c>
      <c r="BO38" s="55"/>
      <c r="BP38" s="55"/>
      <c r="BQ38" s="55"/>
      <c r="BR38" s="10"/>
      <c r="BT38" s="4"/>
      <c r="BU38" s="55" t="s">
        <v>59</v>
      </c>
      <c r="BV38" s="55"/>
      <c r="BW38" s="55"/>
      <c r="BX38" s="52" t="s">
        <v>90</v>
      </c>
      <c r="BY38" s="55"/>
      <c r="BZ38" s="55"/>
      <c r="CA38" s="55"/>
      <c r="CB38" s="10"/>
      <c r="CD38" s="4"/>
      <c r="CE38" s="55" t="s">
        <v>59</v>
      </c>
      <c r="CF38" s="55"/>
      <c r="CG38" s="55"/>
      <c r="CH38" s="52" t="s">
        <v>1222</v>
      </c>
      <c r="CI38" s="55"/>
      <c r="CJ38" s="55"/>
      <c r="CK38" s="55"/>
      <c r="CL38" s="10"/>
    </row>
    <row r="39" spans="2:90" s="43" customFormat="1" ht="16.2" thickBot="1" x14ac:dyDescent="0.35">
      <c r="B39" s="4"/>
      <c r="C39" s="122" t="s">
        <v>62</v>
      </c>
      <c r="D39" s="55"/>
      <c r="E39" s="55"/>
      <c r="F39" s="574" t="s">
        <v>122</v>
      </c>
      <c r="G39" s="46">
        <v>-6</v>
      </c>
      <c r="H39" s="55"/>
      <c r="I39" s="55"/>
      <c r="J39" s="10"/>
      <c r="L39" s="4"/>
      <c r="M39" s="122" t="s">
        <v>62</v>
      </c>
      <c r="N39" s="55"/>
      <c r="O39" s="55"/>
      <c r="P39" s="137" t="s">
        <v>122</v>
      </c>
      <c r="Q39" s="46">
        <v>-1</v>
      </c>
      <c r="R39" s="55"/>
      <c r="S39" s="55"/>
      <c r="T39" s="10"/>
      <c r="V39" s="12"/>
      <c r="W39" s="5" t="s">
        <v>67</v>
      </c>
      <c r="X39" s="13"/>
      <c r="Y39" s="37" t="s">
        <v>68</v>
      </c>
      <c r="Z39" s="342" t="s">
        <v>67</v>
      </c>
      <c r="AA39" s="13"/>
      <c r="AB39" s="5" t="s">
        <v>69</v>
      </c>
      <c r="AC39" s="5"/>
      <c r="AD39" s="13"/>
      <c r="AF39" s="4"/>
      <c r="AG39" s="122" t="s">
        <v>62</v>
      </c>
      <c r="AH39" s="55"/>
      <c r="AI39" s="55"/>
      <c r="AJ39" s="137" t="s">
        <v>122</v>
      </c>
      <c r="AK39" s="46">
        <v>-2</v>
      </c>
      <c r="AL39" s="55"/>
      <c r="AM39" s="55"/>
      <c r="AN39" s="10"/>
      <c r="AP39" s="4"/>
      <c r="AQ39" s="122" t="s">
        <v>62</v>
      </c>
      <c r="AR39" s="55"/>
      <c r="AS39" s="55"/>
      <c r="AT39" s="574" t="s">
        <v>122</v>
      </c>
      <c r="AU39" s="46">
        <v>-1</v>
      </c>
      <c r="AV39" s="55"/>
      <c r="AW39" s="55"/>
      <c r="AX39" s="10"/>
      <c r="AZ39" s="4"/>
      <c r="BA39" s="122" t="s">
        <v>62</v>
      </c>
      <c r="BB39" s="55"/>
      <c r="BC39" s="55"/>
      <c r="BD39" s="574" t="s">
        <v>132</v>
      </c>
      <c r="BE39" s="46">
        <v>-3</v>
      </c>
      <c r="BF39" s="55"/>
      <c r="BG39" s="55"/>
      <c r="BH39" s="10"/>
      <c r="BJ39" s="4"/>
      <c r="BK39" s="55" t="s">
        <v>54</v>
      </c>
      <c r="BL39" s="55"/>
      <c r="BM39" s="55"/>
      <c r="BN39" s="53" t="s">
        <v>55</v>
      </c>
      <c r="BO39" s="55"/>
      <c r="BP39" s="55"/>
      <c r="BQ39" s="55"/>
      <c r="BR39" s="10"/>
      <c r="BS39"/>
      <c r="BT39" s="4"/>
      <c r="BU39" s="55" t="s">
        <v>54</v>
      </c>
      <c r="BV39" s="55"/>
      <c r="BW39" s="55"/>
      <c r="BX39" s="53" t="s">
        <v>55</v>
      </c>
      <c r="BY39" s="55"/>
      <c r="BZ39" s="55"/>
      <c r="CA39" s="55"/>
      <c r="CB39" s="10"/>
      <c r="CC39"/>
      <c r="CD39" s="4"/>
      <c r="CE39" s="122" t="s">
        <v>1220</v>
      </c>
      <c r="CF39" s="55"/>
      <c r="CG39" s="17"/>
      <c r="CH39" s="17" t="s">
        <v>143</v>
      </c>
      <c r="CI39" s="1447" t="s">
        <v>1221</v>
      </c>
      <c r="CK39" s="55"/>
      <c r="CL39" s="10"/>
    </row>
    <row r="40" spans="2:90" ht="15" thickBot="1" x14ac:dyDescent="0.35">
      <c r="B40" s="4"/>
      <c r="C40" s="55" t="s">
        <v>930</v>
      </c>
      <c r="D40" s="55"/>
      <c r="E40" s="55"/>
      <c r="F40" s="54" t="s">
        <v>116</v>
      </c>
      <c r="G40" s="17" t="s">
        <v>91</v>
      </c>
      <c r="H40" s="55"/>
      <c r="I40" s="55"/>
      <c r="J40" s="10"/>
      <c r="L40" s="4"/>
      <c r="M40" s="55" t="s">
        <v>930</v>
      </c>
      <c r="N40" s="55"/>
      <c r="O40" s="55"/>
      <c r="P40" s="54" t="s">
        <v>119</v>
      </c>
      <c r="Q40" s="17" t="s">
        <v>91</v>
      </c>
      <c r="R40" s="55"/>
      <c r="S40" s="55"/>
      <c r="T40" s="10"/>
      <c r="V40" s="1629">
        <f ca="1">TODAY()</f>
        <v>45428</v>
      </c>
      <c r="W40" s="1629"/>
      <c r="X40" s="3"/>
      <c r="Y40" s="39"/>
      <c r="Z40" s="1"/>
      <c r="AA40" s="3"/>
      <c r="AB40" s="2"/>
      <c r="AC40" s="2"/>
      <c r="AD40" s="3"/>
      <c r="AE40" s="43"/>
      <c r="AF40" s="4"/>
      <c r="AG40" s="55" t="s">
        <v>930</v>
      </c>
      <c r="AH40" s="55"/>
      <c r="AI40" s="55"/>
      <c r="AJ40" s="54" t="s">
        <v>116</v>
      </c>
      <c r="AK40" s="17" t="s">
        <v>91</v>
      </c>
      <c r="AL40" s="55"/>
      <c r="AM40" s="55"/>
      <c r="AN40" s="10"/>
      <c r="AO40" s="43"/>
      <c r="AP40" s="4"/>
      <c r="AQ40" s="55" t="s">
        <v>930</v>
      </c>
      <c r="AR40" s="55"/>
      <c r="AS40" s="55"/>
      <c r="AT40" s="54" t="s">
        <v>116</v>
      </c>
      <c r="AU40" s="17" t="s">
        <v>91</v>
      </c>
      <c r="AV40" s="55"/>
      <c r="AW40" s="55"/>
      <c r="AX40" s="10"/>
      <c r="AY40" s="43"/>
      <c r="AZ40" s="4"/>
      <c r="BA40" s="55" t="s">
        <v>930</v>
      </c>
      <c r="BB40" s="55"/>
      <c r="BC40" s="55"/>
      <c r="BD40" s="54" t="s">
        <v>119</v>
      </c>
      <c r="BE40" s="17" t="s">
        <v>91</v>
      </c>
      <c r="BF40" s="55"/>
      <c r="BG40" s="55"/>
      <c r="BH40" s="10"/>
      <c r="BI40" s="43"/>
      <c r="BJ40" s="4"/>
      <c r="BK40" s="122" t="s">
        <v>62</v>
      </c>
      <c r="BL40" s="55"/>
      <c r="BM40" s="55"/>
      <c r="BN40" s="137" t="s">
        <v>122</v>
      </c>
      <c r="BO40" s="55"/>
      <c r="BP40" s="55"/>
      <c r="BQ40" s="55"/>
      <c r="BR40" s="10"/>
      <c r="BS40" s="43"/>
      <c r="BT40" s="4"/>
      <c r="BU40" s="122" t="s">
        <v>62</v>
      </c>
      <c r="BV40" s="55"/>
      <c r="BW40" s="55"/>
      <c r="BX40" s="137" t="s">
        <v>132</v>
      </c>
      <c r="BY40" s="46">
        <v>-1</v>
      </c>
      <c r="BZ40" s="55"/>
      <c r="CA40" s="55"/>
      <c r="CB40" s="10"/>
      <c r="CC40" s="43"/>
      <c r="CD40" s="4"/>
      <c r="CE40" s="55" t="s">
        <v>65</v>
      </c>
      <c r="CF40" s="55"/>
      <c r="CG40" s="17"/>
      <c r="CH40" s="17" t="s">
        <v>66</v>
      </c>
      <c r="CI40" s="55"/>
      <c r="CJ40" s="55"/>
      <c r="CK40" s="55"/>
      <c r="CL40" s="10"/>
    </row>
    <row r="41" spans="2:90" ht="15" thickBot="1" x14ac:dyDescent="0.35">
      <c r="B41" s="4"/>
      <c r="C41" s="55" t="s">
        <v>49</v>
      </c>
      <c r="D41" s="55"/>
      <c r="E41" s="55"/>
      <c r="F41" s="53" t="str">
        <f>VLOOKUP(F7,Данные!A3:I27,6,FALSE())</f>
        <v>25010.00173</v>
      </c>
      <c r="G41" s="55"/>
      <c r="H41" s="55"/>
      <c r="I41" s="55"/>
      <c r="J41" s="10"/>
      <c r="L41" s="4"/>
      <c r="M41" s="55" t="s">
        <v>49</v>
      </c>
      <c r="N41" s="55"/>
      <c r="O41" s="55"/>
      <c r="P41" s="53" t="str">
        <f>VLOOKUP(P7,Данные!A3:I27,6,FALSE())</f>
        <v>25010.00174</v>
      </c>
      <c r="Q41" s="55"/>
      <c r="R41" s="55"/>
      <c r="S41" s="55"/>
      <c r="T41" s="10"/>
      <c r="V41" s="73"/>
      <c r="W41" s="20" t="s">
        <v>70</v>
      </c>
      <c r="X41" s="3"/>
      <c r="Y41" s="21"/>
      <c r="Z41" s="20"/>
      <c r="AA41" s="20"/>
      <c r="AB41" s="20"/>
      <c r="AC41" s="20"/>
      <c r="AD41" s="40"/>
      <c r="AE41" s="43"/>
      <c r="AF41" s="4"/>
      <c r="AG41" s="55" t="s">
        <v>49</v>
      </c>
      <c r="AH41" s="55"/>
      <c r="AI41" s="55"/>
      <c r="AJ41" s="53" t="str">
        <f>VLOOKUP(AJ7,Данные!A3:I27,6,FALSE())</f>
        <v>25010.00173</v>
      </c>
      <c r="AK41" s="55"/>
      <c r="AL41" s="55"/>
      <c r="AM41" s="55"/>
      <c r="AN41" s="10"/>
      <c r="AO41" s="43"/>
      <c r="AP41" s="4"/>
      <c r="AQ41" s="55" t="s">
        <v>49</v>
      </c>
      <c r="AR41" s="55"/>
      <c r="AS41" s="55"/>
      <c r="AT41" s="53" t="str">
        <f>VLOOKUP(AT7,Данные!A3:I27,6,FALSE())</f>
        <v>25010.00173</v>
      </c>
      <c r="AU41" s="55"/>
      <c r="AV41" s="55"/>
      <c r="AW41" s="55"/>
      <c r="AX41" s="10"/>
      <c r="AY41" s="43"/>
      <c r="AZ41" s="4"/>
      <c r="BA41" s="55" t="s">
        <v>49</v>
      </c>
      <c r="BB41" s="55"/>
      <c r="BC41" s="55"/>
      <c r="BD41" s="53" t="str">
        <f>VLOOKUP(BD7,Марка_мет,6,FALSE())</f>
        <v>25010.00176</v>
      </c>
      <c r="BE41" s="55"/>
      <c r="BF41" s="55"/>
      <c r="BG41" s="55"/>
      <c r="BH41" s="10"/>
      <c r="BI41" s="43"/>
      <c r="BJ41" s="4"/>
      <c r="BK41" s="55" t="s">
        <v>930</v>
      </c>
      <c r="BL41" s="55"/>
      <c r="BM41" s="55"/>
      <c r="BN41" s="54" t="s">
        <v>116</v>
      </c>
      <c r="BO41" s="17" t="s">
        <v>91</v>
      </c>
      <c r="BP41" s="55"/>
      <c r="BQ41" s="55"/>
      <c r="BR41" s="10"/>
      <c r="BT41" s="4"/>
      <c r="BU41" s="55" t="s">
        <v>930</v>
      </c>
      <c r="BV41" s="55"/>
      <c r="BW41" s="55"/>
      <c r="BX41" s="54" t="s">
        <v>129</v>
      </c>
      <c r="BY41" s="17" t="s">
        <v>91</v>
      </c>
      <c r="BZ41" s="55"/>
      <c r="CA41" s="55"/>
      <c r="CB41" s="10"/>
      <c r="CD41" s="1692" t="s">
        <v>67</v>
      </c>
      <c r="CE41" s="1694"/>
      <c r="CF41" s="1693"/>
      <c r="CG41" s="37" t="s">
        <v>68</v>
      </c>
      <c r="CH41" s="1692" t="s">
        <v>67</v>
      </c>
      <c r="CI41" s="1693"/>
      <c r="CJ41" s="5" t="s">
        <v>69</v>
      </c>
      <c r="CK41" s="5"/>
      <c r="CL41" s="13"/>
    </row>
    <row r="42" spans="2:90" ht="15" thickBot="1" x14ac:dyDescent="0.35">
      <c r="B42" s="4"/>
      <c r="C42" s="55" t="s">
        <v>51</v>
      </c>
      <c r="D42" s="55"/>
      <c r="E42" s="55"/>
      <c r="F42" s="53" t="s">
        <v>120</v>
      </c>
      <c r="G42" s="55"/>
      <c r="H42" s="55"/>
      <c r="I42" s="55"/>
      <c r="J42" s="10"/>
      <c r="L42" s="4"/>
      <c r="M42" s="55" t="s">
        <v>51</v>
      </c>
      <c r="N42" s="55"/>
      <c r="O42" s="55"/>
      <c r="P42" s="53" t="s">
        <v>92</v>
      </c>
      <c r="Q42" s="55"/>
      <c r="R42" s="55"/>
      <c r="S42" s="55"/>
      <c r="T42" s="10"/>
      <c r="V42" s="4"/>
      <c r="W42" s="59"/>
      <c r="X42" s="59"/>
      <c r="Y42" s="59"/>
      <c r="Z42" s="59"/>
      <c r="AA42" s="59"/>
      <c r="AB42" s="59"/>
      <c r="AC42" s="59"/>
      <c r="AD42" s="10"/>
      <c r="AE42" s="43"/>
      <c r="AF42" s="4"/>
      <c r="AG42" s="55" t="s">
        <v>51</v>
      </c>
      <c r="AH42" s="55"/>
      <c r="AI42" s="55"/>
      <c r="AJ42" s="53" t="s">
        <v>92</v>
      </c>
      <c r="AK42" s="55"/>
      <c r="AL42" s="55"/>
      <c r="AM42" s="55"/>
      <c r="AN42" s="10"/>
      <c r="AO42" s="43"/>
      <c r="AP42" s="4"/>
      <c r="AQ42" s="55" t="s">
        <v>51</v>
      </c>
      <c r="AR42" s="55"/>
      <c r="AS42" s="55"/>
      <c r="AT42" s="53" t="s">
        <v>92</v>
      </c>
      <c r="AU42" s="55"/>
      <c r="AV42" s="55"/>
      <c r="AW42" s="55"/>
      <c r="AX42" s="10"/>
      <c r="AY42" s="43"/>
      <c r="AZ42" s="4"/>
      <c r="BA42" s="55" t="s">
        <v>51</v>
      </c>
      <c r="BB42" s="55"/>
      <c r="BC42" s="55"/>
      <c r="BD42" s="53" t="s">
        <v>92</v>
      </c>
      <c r="BE42" s="55"/>
      <c r="BF42" s="55"/>
      <c r="BG42" s="55"/>
      <c r="BH42" s="10"/>
      <c r="BI42" s="43"/>
      <c r="BJ42" s="4"/>
      <c r="BK42" s="55" t="s">
        <v>49</v>
      </c>
      <c r="BL42" s="55"/>
      <c r="BM42" s="55"/>
      <c r="BN42" s="53" t="str">
        <f>VLOOKUP(BN8,Данные!A3:I27,6,FALSE())</f>
        <v>25010.00173</v>
      </c>
      <c r="BO42" s="55"/>
      <c r="BP42" s="55"/>
      <c r="BQ42" s="55"/>
      <c r="BR42" s="10"/>
      <c r="BT42" s="4"/>
      <c r="BU42" s="55" t="s">
        <v>49</v>
      </c>
      <c r="BV42" s="55"/>
      <c r="BW42" s="55"/>
      <c r="BX42" s="53" t="str">
        <f>VLOOKUP(BX8,Данные!A3:I27,6,FALSE())</f>
        <v>25010.00176</v>
      </c>
      <c r="BY42" s="55"/>
      <c r="BZ42" s="55"/>
      <c r="CA42" s="55"/>
      <c r="CB42" s="10"/>
      <c r="CD42" s="1695">
        <f ca="1">TODAY()</f>
        <v>45428</v>
      </c>
      <c r="CE42" s="1594"/>
      <c r="CF42" s="1595"/>
      <c r="CG42" s="1427"/>
      <c r="CH42" s="1"/>
      <c r="CI42" s="3"/>
      <c r="CJ42" s="2"/>
      <c r="CK42" s="2"/>
      <c r="CL42" s="3"/>
    </row>
    <row r="43" spans="2:90" ht="15" thickBot="1" x14ac:dyDescent="0.35">
      <c r="B43" s="4"/>
      <c r="C43" s="55" t="s">
        <v>65</v>
      </c>
      <c r="D43" s="55"/>
      <c r="E43" s="17"/>
      <c r="F43" s="17" t="s">
        <v>1115</v>
      </c>
      <c r="G43" s="55"/>
      <c r="H43" s="55"/>
      <c r="I43" s="55"/>
      <c r="J43" s="10"/>
      <c r="L43" s="4"/>
      <c r="M43" s="55" t="s">
        <v>65</v>
      </c>
      <c r="N43" s="55"/>
      <c r="O43" s="17"/>
      <c r="P43" s="17" t="s">
        <v>66</v>
      </c>
      <c r="Q43" s="55"/>
      <c r="R43" s="55"/>
      <c r="S43" s="55"/>
      <c r="T43" s="10"/>
      <c r="V43" s="104" t="s">
        <v>6</v>
      </c>
      <c r="W43" s="434"/>
      <c r="X43" s="435"/>
      <c r="Y43" s="107" t="s">
        <v>295</v>
      </c>
      <c r="Z43" s="108" t="s">
        <v>296</v>
      </c>
      <c r="AA43" s="107" t="s">
        <v>296</v>
      </c>
      <c r="AB43" s="107" t="s">
        <v>297</v>
      </c>
      <c r="AC43" s="104" t="s">
        <v>298</v>
      </c>
      <c r="AD43" s="435"/>
      <c r="AE43" s="43"/>
      <c r="AF43" s="4"/>
      <c r="AG43" s="55" t="s">
        <v>65</v>
      </c>
      <c r="AH43" s="55"/>
      <c r="AI43" s="17"/>
      <c r="AJ43" s="17" t="s">
        <v>66</v>
      </c>
      <c r="AK43" s="55"/>
      <c r="AL43" s="55"/>
      <c r="AM43" s="55"/>
      <c r="AN43" s="10"/>
      <c r="AO43" s="43"/>
      <c r="AP43" s="4"/>
      <c r="AQ43" s="55" t="s">
        <v>65</v>
      </c>
      <c r="AR43" s="55"/>
      <c r="AS43" s="17"/>
      <c r="AT43" s="17" t="s">
        <v>66</v>
      </c>
      <c r="AU43" s="55"/>
      <c r="AV43" s="55"/>
      <c r="AW43" s="55"/>
      <c r="AX43" s="10"/>
      <c r="AY43" s="43"/>
      <c r="AZ43" s="4"/>
      <c r="BA43" s="55" t="s">
        <v>65</v>
      </c>
      <c r="BB43" s="55"/>
      <c r="BC43" s="17"/>
      <c r="BD43" s="17" t="s">
        <v>66</v>
      </c>
      <c r="BE43" s="55"/>
      <c r="BF43" s="55"/>
      <c r="BG43" s="55"/>
      <c r="BH43" s="10"/>
      <c r="BI43" s="43"/>
      <c r="BJ43" s="4"/>
      <c r="BK43" s="55" t="s">
        <v>51</v>
      </c>
      <c r="BL43" s="55"/>
      <c r="BM43" s="55"/>
      <c r="BN43" s="53" t="s">
        <v>92</v>
      </c>
      <c r="BO43" s="55"/>
      <c r="BP43" s="55"/>
      <c r="BQ43" s="55"/>
      <c r="BR43" s="10"/>
      <c r="BT43" s="4"/>
      <c r="BU43" s="55" t="s">
        <v>51</v>
      </c>
      <c r="BV43" s="55"/>
      <c r="BW43" s="55"/>
      <c r="BX43" s="53" t="s">
        <v>92</v>
      </c>
      <c r="BY43" s="55"/>
      <c r="BZ43" s="55"/>
      <c r="CA43" s="55"/>
      <c r="CB43" s="10"/>
      <c r="CD43" s="1692" t="s">
        <v>70</v>
      </c>
      <c r="CE43" s="1694"/>
      <c r="CF43" s="1693"/>
      <c r="CG43" s="21"/>
      <c r="CH43" s="20"/>
      <c r="CI43" s="20"/>
      <c r="CJ43" s="20"/>
      <c r="CK43" s="20"/>
      <c r="CL43" s="40"/>
    </row>
    <row r="44" spans="2:90" ht="15" thickBot="1" x14ac:dyDescent="0.35">
      <c r="B44" s="4"/>
      <c r="C44" s="55" t="s">
        <v>93</v>
      </c>
      <c r="D44" s="55"/>
      <c r="E44" s="17"/>
      <c r="F44" s="17" t="s">
        <v>57</v>
      </c>
      <c r="G44" s="55"/>
      <c r="H44" s="55"/>
      <c r="I44" s="55"/>
      <c r="J44" s="10"/>
      <c r="L44" s="4"/>
      <c r="M44" s="55" t="s">
        <v>93</v>
      </c>
      <c r="N44" s="55"/>
      <c r="O44" s="17"/>
      <c r="P44" s="17" t="s">
        <v>57</v>
      </c>
      <c r="Q44" s="55"/>
      <c r="R44" s="55"/>
      <c r="S44" s="55"/>
      <c r="T44" s="10"/>
      <c r="V44" s="109"/>
      <c r="W44" s="436" t="s">
        <v>299</v>
      </c>
      <c r="X44" s="437"/>
      <c r="Y44" s="111" t="s">
        <v>300</v>
      </c>
      <c r="Z44" s="111" t="s">
        <v>301</v>
      </c>
      <c r="AA44" s="111" t="s">
        <v>302</v>
      </c>
      <c r="AB44" s="111"/>
      <c r="AC44" s="112" t="s">
        <v>303</v>
      </c>
      <c r="AD44" s="437"/>
      <c r="AE44" s="43"/>
      <c r="AF44" s="4"/>
      <c r="AG44" s="55" t="s">
        <v>93</v>
      </c>
      <c r="AH44" s="55"/>
      <c r="AI44" s="17"/>
      <c r="AJ44" s="17" t="s">
        <v>57</v>
      </c>
      <c r="AK44" s="55"/>
      <c r="AL44" s="55"/>
      <c r="AM44" s="55"/>
      <c r="AN44" s="10"/>
      <c r="AO44" s="43"/>
      <c r="AP44" s="4"/>
      <c r="AQ44" s="55" t="s">
        <v>93</v>
      </c>
      <c r="AR44" s="55"/>
      <c r="AS44" s="17"/>
      <c r="AT44" s="168" t="s">
        <v>57</v>
      </c>
      <c r="AU44" s="55"/>
      <c r="AV44" s="55"/>
      <c r="AW44" s="55"/>
      <c r="AX44" s="10"/>
      <c r="AY44" s="43"/>
      <c r="AZ44" s="4"/>
      <c r="BA44" s="55" t="s">
        <v>93</v>
      </c>
      <c r="BB44" s="55"/>
      <c r="BC44" s="17"/>
      <c r="BD44" s="168" t="s">
        <v>57</v>
      </c>
      <c r="BE44" s="55"/>
      <c r="BF44" s="55"/>
      <c r="BG44" s="55"/>
      <c r="BH44" s="10"/>
      <c r="BI44" s="43"/>
      <c r="BJ44" s="4"/>
      <c r="BK44" s="55" t="s">
        <v>65</v>
      </c>
      <c r="BL44" s="55"/>
      <c r="BM44" s="17"/>
      <c r="BN44" s="17" t="s">
        <v>66</v>
      </c>
      <c r="BO44" s="55"/>
      <c r="BP44" s="55"/>
      <c r="BQ44" s="55"/>
      <c r="BR44" s="10"/>
      <c r="BT44" s="4"/>
      <c r="BU44" s="55" t="s">
        <v>65</v>
      </c>
      <c r="BV44" s="55"/>
      <c r="BW44" s="17"/>
      <c r="BX44" s="17" t="s">
        <v>66</v>
      </c>
      <c r="BY44" s="55"/>
      <c r="BZ44" s="55"/>
      <c r="CA44" s="55"/>
      <c r="CB44" s="10"/>
      <c r="CD44" s="4"/>
      <c r="CE44" s="59"/>
      <c r="CF44" s="59"/>
      <c r="CG44" s="59"/>
      <c r="CH44" s="59"/>
      <c r="CI44" s="59"/>
      <c r="CJ44" s="59"/>
      <c r="CK44" s="59"/>
      <c r="CL44" s="10"/>
    </row>
    <row r="45" spans="2:90" ht="15" thickBot="1" x14ac:dyDescent="0.35">
      <c r="B45" s="12"/>
      <c r="C45" s="5" t="s">
        <v>67</v>
      </c>
      <c r="D45" s="13"/>
      <c r="E45" s="37" t="s">
        <v>68</v>
      </c>
      <c r="F45" s="38" t="s">
        <v>67</v>
      </c>
      <c r="G45" s="13"/>
      <c r="H45" s="5" t="s">
        <v>69</v>
      </c>
      <c r="I45" s="5"/>
      <c r="J45" s="13"/>
      <c r="L45" s="12"/>
      <c r="M45" s="5" t="s">
        <v>67</v>
      </c>
      <c r="N45" s="13"/>
      <c r="O45" s="37" t="s">
        <v>68</v>
      </c>
      <c r="P45" s="342" t="s">
        <v>67</v>
      </c>
      <c r="Q45" s="13"/>
      <c r="R45" s="5" t="s">
        <v>69</v>
      </c>
      <c r="S45" s="5"/>
      <c r="T45" s="13"/>
      <c r="V45" s="109"/>
      <c r="W45" s="436" t="s">
        <v>400</v>
      </c>
      <c r="X45" s="436"/>
      <c r="Y45" s="195">
        <v>40</v>
      </c>
      <c r="Z45" s="196">
        <v>1</v>
      </c>
      <c r="AA45" s="195">
        <v>20</v>
      </c>
      <c r="AB45" s="111">
        <v>3</v>
      </c>
      <c r="AC45" s="1592">
        <f>ROUND(Z$10/AE51,3)</f>
        <v>1.621</v>
      </c>
      <c r="AD45" s="1593"/>
      <c r="AE45" s="43"/>
      <c r="AF45" s="12"/>
      <c r="AG45" s="5" t="s">
        <v>67</v>
      </c>
      <c r="AH45" s="13"/>
      <c r="AI45" s="37" t="s">
        <v>68</v>
      </c>
      <c r="AJ45" s="38" t="s">
        <v>67</v>
      </c>
      <c r="AK45" s="13"/>
      <c r="AL45" s="5" t="s">
        <v>69</v>
      </c>
      <c r="AM45" s="5"/>
      <c r="AN45" s="13"/>
      <c r="AO45" s="43"/>
      <c r="AP45" s="12"/>
      <c r="AQ45" s="5" t="s">
        <v>67</v>
      </c>
      <c r="AR45" s="13"/>
      <c r="AS45" s="37" t="s">
        <v>68</v>
      </c>
      <c r="AT45" s="38" t="s">
        <v>67</v>
      </c>
      <c r="AU45" s="13"/>
      <c r="AV45" s="5" t="s">
        <v>69</v>
      </c>
      <c r="AW45" s="5"/>
      <c r="AX45" s="13"/>
      <c r="AY45" s="43"/>
      <c r="AZ45" s="12"/>
      <c r="BA45" s="5" t="s">
        <v>67</v>
      </c>
      <c r="BB45" s="13"/>
      <c r="BC45" s="37" t="s">
        <v>68</v>
      </c>
      <c r="BD45" s="38" t="s">
        <v>67</v>
      </c>
      <c r="BE45" s="13"/>
      <c r="BF45" s="5" t="s">
        <v>69</v>
      </c>
      <c r="BG45" s="5"/>
      <c r="BH45" s="13"/>
      <c r="BI45" s="43"/>
      <c r="BJ45" s="4"/>
      <c r="BK45" s="55" t="s">
        <v>93</v>
      </c>
      <c r="BL45" s="55"/>
      <c r="BM45" s="17"/>
      <c r="BN45" s="17" t="s">
        <v>57</v>
      </c>
      <c r="BO45" s="55"/>
      <c r="BP45" s="55"/>
      <c r="BQ45" s="55"/>
      <c r="BR45" s="10"/>
      <c r="BT45" s="4"/>
      <c r="BU45" s="55" t="s">
        <v>93</v>
      </c>
      <c r="BV45" s="55"/>
      <c r="BW45" s="17"/>
      <c r="BX45" s="17" t="s">
        <v>57</v>
      </c>
      <c r="BY45" s="55"/>
      <c r="BZ45" s="55"/>
      <c r="CA45" s="55"/>
      <c r="CB45" s="10"/>
      <c r="CD45" s="1631" t="s">
        <v>6</v>
      </c>
      <c r="CE45" s="1632"/>
      <c r="CF45" s="1633"/>
      <c r="CG45" s="107" t="s">
        <v>295</v>
      </c>
      <c r="CH45" s="108" t="s">
        <v>296</v>
      </c>
      <c r="CI45" s="107" t="s">
        <v>296</v>
      </c>
      <c r="CJ45" s="107" t="s">
        <v>297</v>
      </c>
      <c r="CK45" s="104" t="s">
        <v>298</v>
      </c>
      <c r="CL45" s="1429"/>
    </row>
    <row r="46" spans="2:90" ht="15" thickBot="1" x14ac:dyDescent="0.35">
      <c r="B46" s="1629">
        <f ca="1">TODAY()</f>
        <v>45428</v>
      </c>
      <c r="C46" s="1629"/>
      <c r="D46" s="3"/>
      <c r="E46" s="39"/>
      <c r="F46" s="1"/>
      <c r="G46" s="3"/>
      <c r="H46" s="2"/>
      <c r="I46" s="2"/>
      <c r="J46" s="3"/>
      <c r="L46" s="1629">
        <f ca="1">TODAY()</f>
        <v>45428</v>
      </c>
      <c r="M46" s="1629"/>
      <c r="N46" s="3"/>
      <c r="O46" s="39"/>
      <c r="P46" s="1"/>
      <c r="Q46" s="3"/>
      <c r="R46" s="2"/>
      <c r="S46" s="2"/>
      <c r="T46" s="3"/>
      <c r="AE46" s="43"/>
      <c r="AF46" s="1629">
        <f ca="1">TODAY()</f>
        <v>45428</v>
      </c>
      <c r="AG46" s="1629"/>
      <c r="AH46" s="3"/>
      <c r="AI46" s="39"/>
      <c r="AJ46" s="1"/>
      <c r="AK46" s="3"/>
      <c r="AL46" s="2"/>
      <c r="AM46" s="2"/>
      <c r="AN46" s="3"/>
      <c r="AO46" s="43"/>
      <c r="AP46" s="1629">
        <f ca="1">TODAY()</f>
        <v>45428</v>
      </c>
      <c r="AQ46" s="1629"/>
      <c r="AR46" s="3"/>
      <c r="AS46" s="39"/>
      <c r="AT46" s="1"/>
      <c r="AU46" s="3"/>
      <c r="AV46" s="2"/>
      <c r="AW46" s="2"/>
      <c r="AX46" s="3"/>
      <c r="AY46" s="43"/>
      <c r="AZ46" s="1629">
        <f ca="1">TODAY()</f>
        <v>45428</v>
      </c>
      <c r="BA46" s="1629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67</v>
      </c>
      <c r="BL46" s="13"/>
      <c r="BM46" s="37" t="s">
        <v>68</v>
      </c>
      <c r="BN46" s="38" t="s">
        <v>67</v>
      </c>
      <c r="BO46" s="13"/>
      <c r="BP46" s="5" t="s">
        <v>69</v>
      </c>
      <c r="BQ46" s="5"/>
      <c r="BR46" s="13"/>
      <c r="BT46" s="12"/>
      <c r="BU46" s="5" t="s">
        <v>67</v>
      </c>
      <c r="BV46" s="13"/>
      <c r="BW46" s="37" t="s">
        <v>68</v>
      </c>
      <c r="BX46" s="38" t="s">
        <v>67</v>
      </c>
      <c r="BY46" s="13"/>
      <c r="BZ46" s="5" t="s">
        <v>69</v>
      </c>
      <c r="CA46" s="5"/>
      <c r="CB46" s="13"/>
      <c r="CD46" s="1610" t="s">
        <v>299</v>
      </c>
      <c r="CE46" s="1634"/>
      <c r="CF46" s="1611"/>
      <c r="CG46" s="111" t="s">
        <v>300</v>
      </c>
      <c r="CH46" s="111" t="s">
        <v>301</v>
      </c>
      <c r="CI46" s="111" t="s">
        <v>302</v>
      </c>
      <c r="CJ46" s="111"/>
      <c r="CK46" s="112" t="s">
        <v>303</v>
      </c>
      <c r="CL46" s="1426"/>
    </row>
    <row r="47" spans="2:90" ht="15" thickBot="1" x14ac:dyDescent="0.35">
      <c r="B47" s="73"/>
      <c r="C47" s="20" t="s">
        <v>70</v>
      </c>
      <c r="D47" s="3"/>
      <c r="E47" s="21"/>
      <c r="F47" s="20"/>
      <c r="G47" s="20"/>
      <c r="H47" s="20"/>
      <c r="I47" s="20"/>
      <c r="J47" s="40"/>
      <c r="L47" s="73"/>
      <c r="M47" s="20" t="s">
        <v>70</v>
      </c>
      <c r="N47" s="3"/>
      <c r="O47" s="21"/>
      <c r="P47" s="20"/>
      <c r="Q47" s="20"/>
      <c r="R47" s="20"/>
      <c r="S47" s="20"/>
      <c r="T47" s="40"/>
      <c r="AE47" s="43"/>
      <c r="AF47" s="73"/>
      <c r="AG47" s="20" t="s">
        <v>70</v>
      </c>
      <c r="AH47" s="3"/>
      <c r="AI47" s="21"/>
      <c r="AJ47" s="20"/>
      <c r="AK47" s="20"/>
      <c r="AL47" s="20"/>
      <c r="AM47" s="20"/>
      <c r="AN47" s="40"/>
      <c r="AO47" s="43"/>
      <c r="AP47" s="73"/>
      <c r="AQ47" s="20" t="s">
        <v>70</v>
      </c>
      <c r="AR47" s="3"/>
      <c r="AS47" s="21"/>
      <c r="AT47" s="20"/>
      <c r="AU47" s="20"/>
      <c r="AV47" s="20"/>
      <c r="AW47" s="20"/>
      <c r="AX47" s="40"/>
      <c r="AY47" s="43"/>
      <c r="AZ47" s="73"/>
      <c r="BA47" s="20" t="s">
        <v>70</v>
      </c>
      <c r="BB47" s="3"/>
      <c r="BC47" s="21"/>
      <c r="BD47" s="20"/>
      <c r="BE47" s="20"/>
      <c r="BF47" s="20"/>
      <c r="BG47" s="20"/>
      <c r="BH47" s="40"/>
      <c r="BI47" s="43"/>
      <c r="BJ47" s="1629">
        <f ca="1">TODAY()</f>
        <v>45428</v>
      </c>
      <c r="BK47" s="1629"/>
      <c r="BL47" s="3"/>
      <c r="BM47" s="39"/>
      <c r="BN47" s="1"/>
      <c r="BO47" s="3"/>
      <c r="BP47" s="2"/>
      <c r="BQ47" s="2"/>
      <c r="BR47" s="3"/>
      <c r="BT47" s="1629">
        <f ca="1">TODAY()</f>
        <v>45428</v>
      </c>
      <c r="BU47" s="1629"/>
      <c r="BV47" s="3"/>
      <c r="BW47" s="39"/>
      <c r="BX47" s="1"/>
      <c r="BY47" s="3"/>
      <c r="BZ47" s="2"/>
      <c r="CA47" s="2"/>
      <c r="CB47" s="3"/>
      <c r="CD47" s="1592" t="s">
        <v>400</v>
      </c>
      <c r="CE47" s="1630"/>
      <c r="CF47" s="1593"/>
      <c r="CG47" s="195">
        <v>40</v>
      </c>
      <c r="CH47" s="1428">
        <v>1</v>
      </c>
      <c r="CI47" s="195">
        <v>20</v>
      </c>
      <c r="CJ47" s="111">
        <v>3</v>
      </c>
      <c r="CK47" s="1592">
        <f>ROUND(CH$11/CM52,3)</f>
        <v>0.95699999999999996</v>
      </c>
      <c r="CL47" s="1593"/>
    </row>
    <row r="48" spans="2:90" ht="15" thickBot="1" x14ac:dyDescent="0.35">
      <c r="B48" s="4"/>
      <c r="C48" s="59"/>
      <c r="D48" s="59"/>
      <c r="E48" s="59"/>
      <c r="F48" s="59"/>
      <c r="G48" s="59"/>
      <c r="H48" s="59"/>
      <c r="I48" s="59"/>
      <c r="J48" s="10"/>
      <c r="L48" s="4"/>
      <c r="M48" s="59"/>
      <c r="N48" s="59"/>
      <c r="O48" s="59"/>
      <c r="P48" s="59"/>
      <c r="Q48" s="59"/>
      <c r="R48" s="59"/>
      <c r="S48" s="59"/>
      <c r="T48" s="10"/>
      <c r="AE48" s="43"/>
      <c r="AF48" s="4"/>
      <c r="AG48" s="59"/>
      <c r="AH48" s="59"/>
      <c r="AI48" s="59"/>
      <c r="AJ48" s="59"/>
      <c r="AK48" s="59"/>
      <c r="AL48" s="59"/>
      <c r="AM48" s="59"/>
      <c r="AN48" s="10"/>
      <c r="AO48" s="43"/>
      <c r="AP48" s="4"/>
      <c r="AQ48" s="59"/>
      <c r="AR48" s="59"/>
      <c r="AS48" s="59"/>
      <c r="AT48" s="59"/>
      <c r="AU48" s="59"/>
      <c r="AV48" s="59"/>
      <c r="AW48" s="59"/>
      <c r="AX48" s="10"/>
      <c r="AY48" s="43"/>
      <c r="AZ48" s="4"/>
      <c r="BA48" s="59"/>
      <c r="BB48" s="59"/>
      <c r="BC48" s="59"/>
      <c r="BD48" s="59"/>
      <c r="BE48" s="59"/>
      <c r="BF48" s="59"/>
      <c r="BG48" s="59"/>
      <c r="BH48" s="10"/>
      <c r="BI48" s="43"/>
      <c r="BJ48" s="73"/>
      <c r="BK48" s="20" t="s">
        <v>70</v>
      </c>
      <c r="BL48" s="3"/>
      <c r="BM48" s="21"/>
      <c r="BN48" s="20"/>
      <c r="BO48" s="20"/>
      <c r="BP48" s="20"/>
      <c r="BQ48" s="20"/>
      <c r="BR48" s="40"/>
      <c r="BT48" s="73"/>
      <c r="BU48" s="20" t="s">
        <v>70</v>
      </c>
      <c r="BV48" s="3"/>
      <c r="BW48" s="21"/>
      <c r="BX48" s="20"/>
      <c r="BY48" s="20"/>
      <c r="BZ48" s="20"/>
      <c r="CA48" s="20"/>
      <c r="CB48" s="40"/>
    </row>
    <row r="49" spans="2:91" ht="15" thickBot="1" x14ac:dyDescent="0.35">
      <c r="B49" s="104" t="s">
        <v>6</v>
      </c>
      <c r="C49" s="203"/>
      <c r="D49" s="201"/>
      <c r="E49" s="107" t="s">
        <v>295</v>
      </c>
      <c r="F49" s="108" t="s">
        <v>296</v>
      </c>
      <c r="G49" s="107" t="s">
        <v>296</v>
      </c>
      <c r="H49" s="107" t="s">
        <v>297</v>
      </c>
      <c r="I49" s="104" t="s">
        <v>298</v>
      </c>
      <c r="J49" s="201"/>
      <c r="L49" s="104" t="s">
        <v>6</v>
      </c>
      <c r="M49" s="336"/>
      <c r="N49" s="337"/>
      <c r="O49" s="107" t="s">
        <v>295</v>
      </c>
      <c r="P49" s="108" t="s">
        <v>296</v>
      </c>
      <c r="Q49" s="107" t="s">
        <v>296</v>
      </c>
      <c r="R49" s="107" t="s">
        <v>297</v>
      </c>
      <c r="S49" s="104" t="s">
        <v>298</v>
      </c>
      <c r="T49" s="337"/>
      <c r="AE49" s="43"/>
      <c r="AF49" s="104" t="s">
        <v>6</v>
      </c>
      <c r="AG49" s="439"/>
      <c r="AH49" s="440"/>
      <c r="AI49" s="107" t="s">
        <v>295</v>
      </c>
      <c r="AJ49" s="108" t="s">
        <v>296</v>
      </c>
      <c r="AK49" s="107" t="s">
        <v>296</v>
      </c>
      <c r="AL49" s="107" t="s">
        <v>297</v>
      </c>
      <c r="AM49" s="104" t="s">
        <v>298</v>
      </c>
      <c r="AN49" s="440"/>
      <c r="AO49" s="43"/>
      <c r="AP49" s="104" t="s">
        <v>6</v>
      </c>
      <c r="AQ49" s="510"/>
      <c r="AR49" s="511"/>
      <c r="AS49" s="107" t="s">
        <v>295</v>
      </c>
      <c r="AT49" s="108" t="s">
        <v>296</v>
      </c>
      <c r="AU49" s="107" t="s">
        <v>296</v>
      </c>
      <c r="AV49" s="107" t="s">
        <v>297</v>
      </c>
      <c r="AW49" s="104" t="s">
        <v>298</v>
      </c>
      <c r="AX49" s="511"/>
      <c r="AY49" s="43"/>
      <c r="AZ49" s="104" t="s">
        <v>6</v>
      </c>
      <c r="BA49" s="1087"/>
      <c r="BB49" s="1088"/>
      <c r="BC49" s="107" t="s">
        <v>295</v>
      </c>
      <c r="BD49" s="108" t="s">
        <v>296</v>
      </c>
      <c r="BE49" s="107" t="s">
        <v>296</v>
      </c>
      <c r="BF49" s="107" t="s">
        <v>297</v>
      </c>
      <c r="BG49" s="104" t="s">
        <v>298</v>
      </c>
      <c r="BH49" s="1088"/>
      <c r="BI49" s="43"/>
      <c r="BJ49" s="4"/>
      <c r="BK49" s="59"/>
      <c r="BL49" s="59"/>
      <c r="BM49" s="59"/>
      <c r="BN49" s="59"/>
      <c r="BO49" s="59"/>
      <c r="BP49" s="59"/>
      <c r="BQ49" s="59"/>
      <c r="BR49" s="10"/>
      <c r="BT49" s="4"/>
      <c r="BU49" s="59"/>
      <c r="BV49" s="59"/>
      <c r="BW49" s="59"/>
      <c r="BX49" s="59"/>
      <c r="BY49" s="59"/>
      <c r="BZ49" s="59"/>
      <c r="CA49" s="59"/>
      <c r="CB49" s="10"/>
    </row>
    <row r="50" spans="2:91" ht="15" thickBot="1" x14ac:dyDescent="0.35">
      <c r="B50" s="109"/>
      <c r="C50" s="110" t="s">
        <v>299</v>
      </c>
      <c r="D50" s="202"/>
      <c r="E50" s="111" t="s">
        <v>300</v>
      </c>
      <c r="F50" s="111" t="s">
        <v>301</v>
      </c>
      <c r="G50" s="111" t="s">
        <v>302</v>
      </c>
      <c r="H50" s="111"/>
      <c r="I50" s="112" t="s">
        <v>303</v>
      </c>
      <c r="J50" s="202"/>
      <c r="L50" s="109"/>
      <c r="M50" s="338" t="s">
        <v>299</v>
      </c>
      <c r="N50" s="339"/>
      <c r="O50" s="111" t="s">
        <v>300</v>
      </c>
      <c r="P50" s="111" t="s">
        <v>301</v>
      </c>
      <c r="Q50" s="111" t="s">
        <v>302</v>
      </c>
      <c r="R50" s="111"/>
      <c r="S50" s="112" t="s">
        <v>303</v>
      </c>
      <c r="T50" s="339"/>
      <c r="AE50" s="43"/>
      <c r="AF50" s="109"/>
      <c r="AG50" s="441" t="s">
        <v>299</v>
      </c>
      <c r="AH50" s="442"/>
      <c r="AI50" s="111" t="s">
        <v>300</v>
      </c>
      <c r="AJ50" s="111" t="s">
        <v>301</v>
      </c>
      <c r="AK50" s="111" t="s">
        <v>302</v>
      </c>
      <c r="AL50" s="111"/>
      <c r="AM50" s="112" t="s">
        <v>303</v>
      </c>
      <c r="AN50" s="442"/>
      <c r="AO50" s="43"/>
      <c r="AP50" s="109"/>
      <c r="AQ50" s="512" t="s">
        <v>299</v>
      </c>
      <c r="AR50" s="513"/>
      <c r="AS50" s="111" t="s">
        <v>300</v>
      </c>
      <c r="AT50" s="111" t="s">
        <v>301</v>
      </c>
      <c r="AU50" s="111" t="s">
        <v>302</v>
      </c>
      <c r="AV50" s="111"/>
      <c r="AW50" s="112" t="s">
        <v>303</v>
      </c>
      <c r="AX50" s="513"/>
      <c r="AY50" s="43"/>
      <c r="AZ50" s="109"/>
      <c r="BA50" s="1089" t="s">
        <v>299</v>
      </c>
      <c r="BB50" s="1085"/>
      <c r="BC50" s="111" t="s">
        <v>300</v>
      </c>
      <c r="BD50" s="111" t="s">
        <v>301</v>
      </c>
      <c r="BE50" s="111" t="s">
        <v>302</v>
      </c>
      <c r="BF50" s="111"/>
      <c r="BG50" s="112" t="s">
        <v>303</v>
      </c>
      <c r="BH50" s="1085"/>
      <c r="BI50" s="43"/>
      <c r="BJ50" s="104" t="s">
        <v>6</v>
      </c>
      <c r="BK50" s="105"/>
      <c r="BL50" s="106"/>
      <c r="BM50" s="107" t="s">
        <v>295</v>
      </c>
      <c r="BN50" s="108" t="s">
        <v>296</v>
      </c>
      <c r="BO50" s="107" t="s">
        <v>296</v>
      </c>
      <c r="BP50" s="107" t="s">
        <v>297</v>
      </c>
      <c r="BQ50" s="104" t="s">
        <v>298</v>
      </c>
      <c r="BR50" s="106"/>
      <c r="BT50" s="104" t="s">
        <v>6</v>
      </c>
      <c r="BU50" s="105"/>
      <c r="BV50" s="106"/>
      <c r="BW50" s="107" t="s">
        <v>295</v>
      </c>
      <c r="BX50" s="108" t="s">
        <v>296</v>
      </c>
      <c r="BY50" s="107" t="s">
        <v>296</v>
      </c>
      <c r="BZ50" s="107" t="s">
        <v>297</v>
      </c>
      <c r="CA50" s="104" t="s">
        <v>298</v>
      </c>
      <c r="CB50" s="106"/>
    </row>
    <row r="51" spans="2:91" ht="15" thickBot="1" x14ac:dyDescent="0.35">
      <c r="B51" s="109"/>
      <c r="C51" s="110" t="s">
        <v>400</v>
      </c>
      <c r="D51" s="110"/>
      <c r="E51" s="195">
        <v>40</v>
      </c>
      <c r="F51" s="196">
        <v>1</v>
      </c>
      <c r="G51" s="195">
        <v>20</v>
      </c>
      <c r="H51" s="111">
        <v>3</v>
      </c>
      <c r="I51" s="1592">
        <f>ROUND(F$12/K51,3)</f>
        <v>31.553999999999998</v>
      </c>
      <c r="J51" s="1593"/>
      <c r="K51" s="205">
        <v>98.72</v>
      </c>
      <c r="L51" s="109"/>
      <c r="M51" s="338" t="s">
        <v>400</v>
      </c>
      <c r="N51" s="338"/>
      <c r="O51" s="195">
        <v>40</v>
      </c>
      <c r="P51" s="196">
        <v>1</v>
      </c>
      <c r="Q51" s="195">
        <v>20</v>
      </c>
      <c r="R51" s="111">
        <v>3</v>
      </c>
      <c r="S51" s="1592">
        <f>ROUND(P$12/U51,3)</f>
        <v>8.4079999999999995</v>
      </c>
      <c r="T51" s="1593"/>
      <c r="U51" s="205">
        <v>98.72</v>
      </c>
      <c r="AD51" s="59"/>
      <c r="AE51" s="576">
        <v>98.72</v>
      </c>
      <c r="AF51" s="109"/>
      <c r="AG51" s="441" t="s">
        <v>400</v>
      </c>
      <c r="AH51" s="441"/>
      <c r="AI51" s="195">
        <v>40</v>
      </c>
      <c r="AJ51" s="443">
        <v>1</v>
      </c>
      <c r="AK51" s="195">
        <v>20</v>
      </c>
      <c r="AL51" s="111">
        <v>3</v>
      </c>
      <c r="AM51" s="1592">
        <f>ROUND(AJ$12/AO51,3)</f>
        <v>9.5730000000000004</v>
      </c>
      <c r="AN51" s="1593"/>
      <c r="AO51" s="205">
        <v>98.72</v>
      </c>
      <c r="AP51" s="109"/>
      <c r="AQ51" s="512" t="s">
        <v>400</v>
      </c>
      <c r="AR51" s="512"/>
      <c r="AS51" s="195">
        <v>40</v>
      </c>
      <c r="AT51" s="515">
        <v>1</v>
      </c>
      <c r="AU51" s="195">
        <v>20</v>
      </c>
      <c r="AV51" s="111">
        <v>3</v>
      </c>
      <c r="AW51" s="1592">
        <f>ROUND(AT$12/AY51,3)</f>
        <v>7.04</v>
      </c>
      <c r="AX51" s="1593"/>
      <c r="AY51" s="205">
        <v>98.72</v>
      </c>
      <c r="AZ51" s="109"/>
      <c r="BA51" s="1089" t="s">
        <v>400</v>
      </c>
      <c r="BB51" s="1089"/>
      <c r="BC51" s="195">
        <v>40</v>
      </c>
      <c r="BD51" s="1086">
        <v>1</v>
      </c>
      <c r="BE51" s="195">
        <v>20</v>
      </c>
      <c r="BF51" s="111">
        <v>3</v>
      </c>
      <c r="BG51" s="1592">
        <f>ROUND(BD$12/BI51,3)</f>
        <v>10.265000000000001</v>
      </c>
      <c r="BH51" s="1593"/>
      <c r="BI51" s="205">
        <v>170</v>
      </c>
      <c r="BJ51" s="109"/>
      <c r="BK51" s="110" t="s">
        <v>299</v>
      </c>
      <c r="BL51" s="194"/>
      <c r="BM51" s="111" t="s">
        <v>300</v>
      </c>
      <c r="BN51" s="111" t="s">
        <v>301</v>
      </c>
      <c r="BO51" s="111" t="s">
        <v>302</v>
      </c>
      <c r="BP51" s="111"/>
      <c r="BQ51" s="112" t="s">
        <v>303</v>
      </c>
      <c r="BR51" s="194"/>
      <c r="BT51" s="109"/>
      <c r="BU51" s="110" t="s">
        <v>299</v>
      </c>
      <c r="BV51" s="194"/>
      <c r="BW51" s="111" t="s">
        <v>300</v>
      </c>
      <c r="BX51" s="111" t="s">
        <v>301</v>
      </c>
      <c r="BY51" s="111" t="s">
        <v>302</v>
      </c>
      <c r="BZ51" s="111"/>
      <c r="CA51" s="112" t="s">
        <v>303</v>
      </c>
      <c r="CB51" s="194"/>
    </row>
    <row r="52" spans="2:91" ht="15" thickBot="1" x14ac:dyDescent="0.35">
      <c r="BJ52" s="109"/>
      <c r="BK52" s="110" t="s">
        <v>400</v>
      </c>
      <c r="BL52" s="110"/>
      <c r="BM52" s="195">
        <v>40</v>
      </c>
      <c r="BN52" s="196">
        <v>1</v>
      </c>
      <c r="BO52" s="195">
        <v>20</v>
      </c>
      <c r="BP52" s="111">
        <v>3</v>
      </c>
      <c r="BQ52" s="1592">
        <f>ROUND($BN$13/BS52,3)</f>
        <v>2.492</v>
      </c>
      <c r="BR52" s="1593"/>
      <c r="BS52" s="205">
        <v>98.72</v>
      </c>
      <c r="BT52" s="109"/>
      <c r="BU52" s="110" t="s">
        <v>400</v>
      </c>
      <c r="BV52" s="110"/>
      <c r="BW52" s="195">
        <v>40</v>
      </c>
      <c r="BX52" s="196">
        <v>1</v>
      </c>
      <c r="BY52" s="195">
        <v>20</v>
      </c>
      <c r="BZ52" s="111">
        <v>3</v>
      </c>
      <c r="CA52" s="1592">
        <f>ROUND(BX$13/CC52,3)</f>
        <v>6.9390000000000001</v>
      </c>
      <c r="CB52" s="1593"/>
      <c r="CC52" s="205">
        <v>98.72</v>
      </c>
      <c r="CM52">
        <v>98.72</v>
      </c>
    </row>
    <row r="55" spans="2:91" x14ac:dyDescent="0.3">
      <c r="C55" s="43"/>
      <c r="D55" s="43" t="s">
        <v>4</v>
      </c>
      <c r="E55" s="43" t="s">
        <v>833</v>
      </c>
    </row>
    <row r="56" spans="2:91" x14ac:dyDescent="0.3">
      <c r="C56" s="43"/>
      <c r="D56" s="43"/>
      <c r="E56" s="43"/>
    </row>
    <row r="57" spans="2:91" x14ac:dyDescent="0.3">
      <c r="C57" s="43" t="s">
        <v>834</v>
      </c>
      <c r="D57" s="46" t="s">
        <v>335</v>
      </c>
      <c r="E57" s="692">
        <v>1</v>
      </c>
    </row>
    <row r="58" spans="2:91" x14ac:dyDescent="0.3">
      <c r="C58" s="43" t="s">
        <v>834</v>
      </c>
      <c r="D58" s="43" t="s">
        <v>361</v>
      </c>
      <c r="E58" s="43">
        <v>1</v>
      </c>
    </row>
    <row r="59" spans="2:91" x14ac:dyDescent="0.3">
      <c r="C59" s="43" t="s">
        <v>834</v>
      </c>
      <c r="D59" s="43" t="s">
        <v>405</v>
      </c>
      <c r="E59" s="692">
        <v>1</v>
      </c>
    </row>
    <row r="60" spans="2:91" x14ac:dyDescent="0.3">
      <c r="C60" s="43" t="s">
        <v>834</v>
      </c>
      <c r="D60" s="692" t="s">
        <v>1105</v>
      </c>
      <c r="E60" s="692">
        <v>1</v>
      </c>
    </row>
    <row r="61" spans="2:91" x14ac:dyDescent="0.3">
      <c r="C61" s="43" t="s">
        <v>834</v>
      </c>
      <c r="D61" s="692" t="s">
        <v>796</v>
      </c>
      <c r="E61" s="692">
        <v>1</v>
      </c>
    </row>
    <row r="62" spans="2:91" x14ac:dyDescent="0.3">
      <c r="C62" s="43"/>
      <c r="D62" s="692" t="s">
        <v>943</v>
      </c>
      <c r="E62" s="43"/>
    </row>
    <row r="63" spans="2:91" x14ac:dyDescent="0.3">
      <c r="C63" s="43" t="s">
        <v>834</v>
      </c>
      <c r="D63" s="692" t="s">
        <v>362</v>
      </c>
      <c r="E63" s="692">
        <v>1</v>
      </c>
    </row>
    <row r="64" spans="2:91" x14ac:dyDescent="0.3">
      <c r="C64" s="43" t="s">
        <v>835</v>
      </c>
      <c r="D64" s="692" t="s">
        <v>420</v>
      </c>
      <c r="E64" s="43">
        <v>1</v>
      </c>
    </row>
    <row r="65" spans="3:5" x14ac:dyDescent="0.3">
      <c r="C65" s="43" t="s">
        <v>836</v>
      </c>
      <c r="D65" s="772" t="s">
        <v>792</v>
      </c>
      <c r="E65" s="43">
        <v>1</v>
      </c>
    </row>
    <row r="66" spans="3:5" x14ac:dyDescent="0.3">
      <c r="C66" s="43" t="s">
        <v>1088</v>
      </c>
      <c r="D66" s="43"/>
      <c r="E66" s="43"/>
    </row>
  </sheetData>
  <mergeCells count="24">
    <mergeCell ref="CK47:CL47"/>
    <mergeCell ref="V40:W40"/>
    <mergeCell ref="B46:C46"/>
    <mergeCell ref="I51:J51"/>
    <mergeCell ref="AM51:AN51"/>
    <mergeCell ref="AC45:AD45"/>
    <mergeCell ref="CD45:CF45"/>
    <mergeCell ref="CD46:CF46"/>
    <mergeCell ref="CD47:CF47"/>
    <mergeCell ref="CH41:CI41"/>
    <mergeCell ref="CD41:CF41"/>
    <mergeCell ref="CD42:CF42"/>
    <mergeCell ref="CD43:CF43"/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0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zoomScale="85" zoomScaleNormal="85" workbookViewId="0">
      <selection activeCell="T15" sqref="T15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4" ht="15.6" customHeight="1" thickBot="1" x14ac:dyDescent="0.35">
      <c r="M1" t="s">
        <v>1167</v>
      </c>
      <c r="Q1" s="59"/>
    </row>
    <row r="2" spans="2:24" ht="15" thickBot="1" x14ac:dyDescent="0.35">
      <c r="B2" s="12"/>
      <c r="C2" s="71"/>
      <c r="D2" s="71"/>
      <c r="E2" s="81" t="s">
        <v>0</v>
      </c>
      <c r="F2" s="71"/>
      <c r="G2" s="71"/>
      <c r="H2" s="71"/>
      <c r="I2" s="71"/>
      <c r="J2" s="71"/>
      <c r="K2" s="71"/>
      <c r="L2" s="71"/>
      <c r="M2" s="1274" t="s">
        <v>1097</v>
      </c>
      <c r="O2" s="1709" t="s">
        <v>84</v>
      </c>
      <c r="P2" s="1710"/>
      <c r="Q2" s="1709" t="s">
        <v>1163</v>
      </c>
      <c r="R2" s="1710"/>
    </row>
    <row r="3" spans="2:24" ht="15" thickBot="1" x14ac:dyDescent="0.35">
      <c r="B3" s="12"/>
      <c r="C3" s="71" t="s">
        <v>2</v>
      </c>
      <c r="D3" s="5"/>
      <c r="E3" s="5"/>
      <c r="F3" s="71"/>
      <c r="G3" s="71"/>
      <c r="H3" s="71"/>
      <c r="I3" s="1144" t="s">
        <v>1225</v>
      </c>
      <c r="J3" s="71"/>
      <c r="K3" s="71" t="s">
        <v>428</v>
      </c>
      <c r="L3" s="1265"/>
      <c r="M3" s="1448"/>
      <c r="O3" s="935" t="s">
        <v>1011</v>
      </c>
      <c r="P3" s="61">
        <v>1390</v>
      </c>
      <c r="Q3" s="935" t="s">
        <v>1011</v>
      </c>
      <c r="R3" s="1243">
        <f>ROUND(((P3+19.5*2)/0.985),0)</f>
        <v>1451</v>
      </c>
    </row>
    <row r="4" spans="2:24" x14ac:dyDescent="0.3">
      <c r="B4" s="4"/>
      <c r="C4" s="59" t="s">
        <v>4</v>
      </c>
      <c r="D4" s="55"/>
      <c r="E4" s="55"/>
      <c r="F4" s="59"/>
      <c r="G4" s="59"/>
      <c r="H4" s="59"/>
      <c r="I4" s="1146" t="s">
        <v>1226</v>
      </c>
      <c r="J4" s="55"/>
      <c r="K4" s="55" t="s">
        <v>774</v>
      </c>
      <c r="L4" s="59"/>
      <c r="M4" s="10"/>
      <c r="O4" s="935" t="s">
        <v>1012</v>
      </c>
      <c r="P4" s="61">
        <v>1140</v>
      </c>
      <c r="Q4" s="935" t="s">
        <v>1012</v>
      </c>
      <c r="R4" s="1243">
        <f>ROUND(((P4-17*2)/0.994),0)</f>
        <v>1113</v>
      </c>
      <c r="W4" s="43"/>
    </row>
    <row r="5" spans="2:24" ht="15" thickBot="1" x14ac:dyDescent="0.35">
      <c r="B5" s="4"/>
      <c r="C5" s="59" t="s">
        <v>6</v>
      </c>
      <c r="D5" s="55"/>
      <c r="E5" s="55"/>
      <c r="F5" s="59"/>
      <c r="G5" s="59"/>
      <c r="H5" s="59"/>
      <c r="I5" s="468" t="s">
        <v>1107</v>
      </c>
      <c r="J5" s="55"/>
      <c r="K5" s="55" t="s">
        <v>1227</v>
      </c>
      <c r="L5" s="55"/>
      <c r="M5" s="10"/>
      <c r="O5" s="936" t="s">
        <v>8</v>
      </c>
      <c r="P5" s="70">
        <v>210</v>
      </c>
      <c r="Q5" s="1450" t="s">
        <v>8</v>
      </c>
      <c r="R5" s="1495">
        <f>ROUND(((P5+19.5*2)/0.985),0)</f>
        <v>253</v>
      </c>
      <c r="U5" s="59"/>
      <c r="W5" s="43"/>
    </row>
    <row r="6" spans="2:24" ht="15" thickBot="1" x14ac:dyDescent="0.35">
      <c r="B6" s="19"/>
      <c r="C6" s="65" t="s">
        <v>10</v>
      </c>
      <c r="D6" s="20"/>
      <c r="E6" s="20"/>
      <c r="F6" s="65"/>
      <c r="G6" s="65"/>
      <c r="H6" s="65"/>
      <c r="I6" s="1147">
        <v>2</v>
      </c>
      <c r="J6" s="20"/>
      <c r="K6" s="20"/>
      <c r="L6" s="20"/>
      <c r="M6" s="40"/>
      <c r="O6" s="933" t="s">
        <v>19</v>
      </c>
      <c r="P6" s="934">
        <f>ROUNDUP((P3*P3-P4*P4)*3.1415296*P5*P8/4000000,0)</f>
        <v>783</v>
      </c>
      <c r="Q6" s="1570" t="s">
        <v>1228</v>
      </c>
      <c r="R6" s="1643"/>
      <c r="S6" s="1571"/>
    </row>
    <row r="7" spans="2:24" ht="15" thickBot="1" x14ac:dyDescent="0.35">
      <c r="B7" s="4"/>
      <c r="C7" s="59" t="s">
        <v>16</v>
      </c>
      <c r="D7" s="55"/>
      <c r="E7" s="55"/>
      <c r="F7" s="59"/>
      <c r="G7" s="59"/>
      <c r="I7" s="1281" t="s">
        <v>37</v>
      </c>
      <c r="J7" s="59"/>
      <c r="K7" s="59"/>
      <c r="L7" s="55" t="s">
        <v>17</v>
      </c>
      <c r="M7" s="15">
        <f>I8/I9</f>
        <v>0.63710333604556546</v>
      </c>
      <c r="O7" s="475"/>
      <c r="P7" s="932"/>
      <c r="Q7" s="12">
        <v>1800</v>
      </c>
      <c r="R7" s="71">
        <v>1800</v>
      </c>
      <c r="S7" s="13">
        <v>300</v>
      </c>
      <c r="T7" t="s">
        <v>1229</v>
      </c>
    </row>
    <row r="8" spans="2:24" ht="15" thickBot="1" x14ac:dyDescent="0.35">
      <c r="B8" s="4"/>
      <c r="C8" s="59" t="s">
        <v>19</v>
      </c>
      <c r="D8" s="55"/>
      <c r="E8" s="55"/>
      <c r="F8" s="59"/>
      <c r="G8" s="59"/>
      <c r="I8" s="611">
        <f>IF(P7=0,P6,P7)</f>
        <v>783</v>
      </c>
      <c r="J8" s="59"/>
      <c r="K8" s="59"/>
      <c r="L8" s="55" t="s">
        <v>23</v>
      </c>
      <c r="M8" s="15">
        <f>I8/I13</f>
        <v>0.44013490725126475</v>
      </c>
      <c r="O8" s="938" t="s">
        <v>1013</v>
      </c>
      <c r="P8" s="939">
        <f>VLOOKUP(I7,Данные!A2:I21,9,FALSE)</f>
        <v>7.5</v>
      </c>
      <c r="Q8" s="19"/>
      <c r="R8" s="65"/>
      <c r="S8" s="40">
        <v>300</v>
      </c>
      <c r="T8" t="s">
        <v>969</v>
      </c>
    </row>
    <row r="9" spans="2:24" ht="15" thickBot="1" x14ac:dyDescent="0.35">
      <c r="B9" s="4"/>
      <c r="C9" s="59" t="s">
        <v>22</v>
      </c>
      <c r="D9" s="55"/>
      <c r="E9" s="55"/>
      <c r="F9" s="59"/>
      <c r="G9" s="59"/>
      <c r="I9" s="611">
        <f>P13</f>
        <v>1229</v>
      </c>
      <c r="J9" s="55"/>
      <c r="K9" s="55"/>
      <c r="L9" s="55"/>
      <c r="M9" s="18"/>
      <c r="O9" s="1711" t="s">
        <v>325</v>
      </c>
      <c r="P9" s="1712"/>
    </row>
    <row r="10" spans="2:24" x14ac:dyDescent="0.3">
      <c r="B10" s="4"/>
      <c r="C10" s="59" t="s">
        <v>24</v>
      </c>
      <c r="D10" s="55"/>
      <c r="E10" s="55"/>
      <c r="F10" s="59"/>
      <c r="G10" s="59"/>
      <c r="I10" s="611">
        <f>P16</f>
        <v>366</v>
      </c>
      <c r="J10" s="55"/>
      <c r="K10" s="55"/>
      <c r="L10" s="55"/>
      <c r="M10" s="18"/>
      <c r="O10" s="1272" t="s">
        <v>1011</v>
      </c>
      <c r="P10" s="1243">
        <f>ROUND(R3*0.985,0)</f>
        <v>1429</v>
      </c>
    </row>
    <row r="11" spans="2:24" x14ac:dyDescent="0.3">
      <c r="B11" s="4"/>
      <c r="C11" s="59" t="s">
        <v>339</v>
      </c>
      <c r="D11" s="55"/>
      <c r="E11" s="55"/>
      <c r="F11" s="59"/>
      <c r="G11" s="59"/>
      <c r="I11" s="611">
        <f>P19</f>
        <v>115</v>
      </c>
      <c r="J11" s="55"/>
      <c r="K11" s="55"/>
      <c r="L11" s="55"/>
      <c r="M11" s="18"/>
      <c r="O11" s="935" t="s">
        <v>1012</v>
      </c>
      <c r="P11" s="1492">
        <f>ROUNDDOWN(R4*0.994,0)</f>
        <v>1106</v>
      </c>
    </row>
    <row r="12" spans="2:24" ht="15" thickBot="1" x14ac:dyDescent="0.35">
      <c r="B12" s="4"/>
      <c r="C12" s="59" t="s">
        <v>27</v>
      </c>
      <c r="D12" s="55"/>
      <c r="E12" s="55"/>
      <c r="F12" s="59"/>
      <c r="G12" s="59"/>
      <c r="I12" s="616">
        <f>SUM(I9:I11)</f>
        <v>1710</v>
      </c>
      <c r="J12" s="55"/>
      <c r="K12" s="55"/>
      <c r="L12" s="55"/>
      <c r="M12" s="18"/>
      <c r="O12" s="936" t="s">
        <v>8</v>
      </c>
      <c r="P12" s="1493">
        <f>ROUNDUP(R5*0.985,0)</f>
        <v>250</v>
      </c>
      <c r="W12" s="1721"/>
      <c r="X12" s="1721"/>
    </row>
    <row r="13" spans="2:24" ht="15" thickBot="1" x14ac:dyDescent="0.35">
      <c r="B13" s="19"/>
      <c r="C13" s="65" t="s">
        <v>32</v>
      </c>
      <c r="D13" s="20"/>
      <c r="E13" s="20"/>
      <c r="F13" s="65"/>
      <c r="G13" s="65"/>
      <c r="I13" s="617">
        <f>ROUNDUP(I12*1.04,0)</f>
        <v>1779</v>
      </c>
      <c r="J13" s="20"/>
      <c r="K13" s="20"/>
      <c r="L13" s="20"/>
      <c r="M13" s="1260"/>
      <c r="O13" s="1266" t="s">
        <v>255</v>
      </c>
      <c r="P13" s="1494">
        <f>ROUNDUP(((P10+K14)*(P10+K14)-(P11-K14)*(P11-K14))*P12*3.1415926*P8/4000000,0)</f>
        <v>1229</v>
      </c>
      <c r="Q13" s="4"/>
      <c r="W13" s="1721"/>
      <c r="X13" s="1721"/>
    </row>
    <row r="14" spans="2:24" ht="15" thickBot="1" x14ac:dyDescent="0.35">
      <c r="B14" s="12"/>
      <c r="C14" s="1276" t="s">
        <v>220</v>
      </c>
      <c r="D14" s="159"/>
      <c r="E14" s="45"/>
      <c r="F14" s="160"/>
      <c r="G14" s="160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292" t="str">
        <f>" мм."</f>
        <v xml:space="preserve"> мм.</v>
      </c>
      <c r="M14" s="162"/>
      <c r="O14" s="1713" t="s">
        <v>803</v>
      </c>
      <c r="P14" s="1714"/>
      <c r="W14" s="1721"/>
      <c r="X14" s="1721"/>
    </row>
    <row r="15" spans="2:24" x14ac:dyDescent="0.3">
      <c r="B15" s="4"/>
      <c r="C15" s="122"/>
      <c r="D15" s="124"/>
      <c r="E15" s="46"/>
      <c r="F15" s="36"/>
      <c r="G15" s="36"/>
      <c r="H15" s="55"/>
      <c r="I15" s="55"/>
      <c r="J15" s="55"/>
      <c r="K15" s="55"/>
      <c r="L15" s="23"/>
      <c r="M15" s="24"/>
      <c r="O15" s="1273" t="s">
        <v>8</v>
      </c>
      <c r="P15" s="1496">
        <f>P12</f>
        <v>250</v>
      </c>
    </row>
    <row r="16" spans="2:24" x14ac:dyDescent="0.3">
      <c r="B16" s="4"/>
      <c r="C16" s="122"/>
      <c r="D16" s="1295">
        <f>P15</f>
        <v>250</v>
      </c>
      <c r="E16" s="46"/>
      <c r="F16" s="36"/>
      <c r="G16" s="36"/>
      <c r="H16" s="55"/>
      <c r="I16" s="55"/>
      <c r="J16" s="55"/>
      <c r="K16" s="55"/>
      <c r="L16" s="23"/>
      <c r="M16" s="24"/>
      <c r="O16" s="1273" t="s">
        <v>1223</v>
      </c>
      <c r="P16" s="1496">
        <f>ROUNDUP(P13/4*1.19,0)</f>
        <v>366</v>
      </c>
    </row>
    <row r="17" spans="2:17" x14ac:dyDescent="0.3">
      <c r="B17" s="4"/>
      <c r="C17" s="1277" t="s">
        <v>429</v>
      </c>
      <c r="D17" s="59"/>
      <c r="E17" s="59"/>
      <c r="F17" s="55"/>
      <c r="G17" s="55"/>
      <c r="H17" s="55"/>
      <c r="I17" s="55"/>
      <c r="J17" s="55"/>
      <c r="K17" s="55"/>
      <c r="L17" s="23"/>
      <c r="M17" s="24"/>
    </row>
    <row r="18" spans="2:17" x14ac:dyDescent="0.3">
      <c r="B18" s="4"/>
      <c r="C18" s="59"/>
      <c r="D18" s="55"/>
      <c r="E18" s="55"/>
      <c r="F18" s="55"/>
      <c r="G18" s="55"/>
      <c r="H18" s="55"/>
      <c r="I18" s="55"/>
      <c r="J18" s="46"/>
      <c r="K18" s="46"/>
      <c r="L18" s="23"/>
      <c r="M18" s="355"/>
      <c r="O18" s="1715" t="s">
        <v>1224</v>
      </c>
      <c r="P18" s="1715"/>
    </row>
    <row r="19" spans="2:17" x14ac:dyDescent="0.3">
      <c r="B19" s="4"/>
      <c r="C19" s="59"/>
      <c r="D19" s="55"/>
      <c r="E19" s="55"/>
      <c r="F19" s="55"/>
      <c r="G19" s="55"/>
      <c r="H19" s="55"/>
      <c r="I19" s="55"/>
      <c r="J19" s="55"/>
      <c r="K19" s="55"/>
      <c r="L19" s="28"/>
      <c r="M19" s="355"/>
      <c r="P19">
        <v>115</v>
      </c>
    </row>
    <row r="20" spans="2:17" x14ac:dyDescent="0.3">
      <c r="B20" s="4"/>
      <c r="C20" s="59"/>
      <c r="D20" s="55"/>
      <c r="E20" s="55"/>
      <c r="F20" s="55"/>
      <c r="G20" s="55"/>
      <c r="H20" s="55"/>
      <c r="I20" s="55"/>
      <c r="J20" s="55"/>
      <c r="K20" s="55"/>
      <c r="L20" s="26"/>
      <c r="M20" s="158"/>
    </row>
    <row r="21" spans="2:17" x14ac:dyDescent="0.3">
      <c r="B21" s="4"/>
      <c r="C21" s="59"/>
      <c r="D21" s="55"/>
      <c r="E21" s="55"/>
      <c r="F21" s="55"/>
      <c r="G21" s="55"/>
      <c r="H21" s="55"/>
      <c r="I21" s="55"/>
      <c r="J21" s="1716">
        <f>ROUND(P4/1.94/10,0)*10</f>
        <v>590</v>
      </c>
      <c r="K21" s="1716"/>
      <c r="L21" s="1716"/>
      <c r="M21" s="432"/>
      <c r="Q21" s="59"/>
    </row>
    <row r="22" spans="2:17" x14ac:dyDescent="0.3">
      <c r="B22" s="4"/>
      <c r="C22" s="59"/>
      <c r="D22" s="55"/>
      <c r="E22" s="55"/>
      <c r="F22" s="55"/>
      <c r="G22" s="55"/>
      <c r="H22" s="55"/>
      <c r="I22" s="55"/>
      <c r="J22" s="1299"/>
      <c r="K22" s="1299"/>
      <c r="L22" s="1299"/>
      <c r="M22" s="432"/>
    </row>
    <row r="23" spans="2:17" x14ac:dyDescent="0.3">
      <c r="B23" s="4"/>
      <c r="C23" s="1278">
        <v>4.8611111111111112E-2</v>
      </c>
      <c r="D23" s="59"/>
      <c r="E23" s="55"/>
      <c r="F23" s="55"/>
      <c r="G23" s="55"/>
      <c r="H23" s="55"/>
      <c r="I23" s="55"/>
      <c r="J23" s="156"/>
      <c r="K23" s="156"/>
      <c r="L23" s="29"/>
      <c r="M23" s="158"/>
    </row>
    <row r="24" spans="2:17" x14ac:dyDescent="0.3">
      <c r="B24" s="4"/>
      <c r="C24" s="59"/>
      <c r="D24" s="1275">
        <v>20</v>
      </c>
      <c r="E24" s="1718">
        <f>P11</f>
        <v>1106</v>
      </c>
      <c r="F24" s="1717" t="str">
        <f>"( "&amp;P4&amp;" )"</f>
        <v>( 1140 )</v>
      </c>
      <c r="G24" s="1719">
        <f>P10</f>
        <v>1429</v>
      </c>
      <c r="H24" s="1720" t="str">
        <f>"( "&amp;P3&amp;" )"</f>
        <v>( 1390 )</v>
      </c>
      <c r="I24" s="55"/>
      <c r="J24" s="55"/>
      <c r="K24" s="55"/>
      <c r="L24" s="29"/>
      <c r="M24" s="27"/>
    </row>
    <row r="25" spans="2:17" ht="14.4" customHeight="1" x14ac:dyDescent="0.3">
      <c r="B25" s="4"/>
      <c r="C25" s="59"/>
      <c r="D25" s="55"/>
      <c r="E25" s="1718"/>
      <c r="F25" s="1717"/>
      <c r="G25" s="1719"/>
      <c r="H25" s="1720"/>
      <c r="I25" s="1280"/>
      <c r="J25" s="55"/>
      <c r="K25" s="55"/>
      <c r="L25" s="29"/>
      <c r="M25" s="27"/>
    </row>
    <row r="26" spans="2:17" ht="14.4" customHeight="1" x14ac:dyDescent="0.3">
      <c r="B26" s="4"/>
      <c r="C26" s="59"/>
      <c r="D26" s="55"/>
      <c r="E26" s="1718"/>
      <c r="F26" s="1717"/>
      <c r="G26" s="1719"/>
      <c r="H26" s="1720"/>
      <c r="I26" s="1280"/>
      <c r="J26" s="55"/>
      <c r="K26" s="55"/>
      <c r="L26" s="29"/>
      <c r="M26" s="27"/>
    </row>
    <row r="27" spans="2:17" x14ac:dyDescent="0.3">
      <c r="B27" s="4"/>
      <c r="C27" s="59"/>
      <c r="D27" s="33"/>
      <c r="E27" s="1283"/>
      <c r="F27" s="1284"/>
      <c r="G27" s="1719"/>
      <c r="H27" s="1720"/>
      <c r="I27" s="1280"/>
      <c r="J27" s="55"/>
      <c r="K27" s="55"/>
      <c r="L27" s="29"/>
      <c r="M27" s="27"/>
    </row>
    <row r="28" spans="2:17" x14ac:dyDescent="0.3">
      <c r="B28" s="4"/>
      <c r="C28" s="59"/>
      <c r="D28" s="59"/>
      <c r="E28" s="46" t="str">
        <f>"     "&amp;P12</f>
        <v xml:space="preserve">     250</v>
      </c>
      <c r="F28" s="157"/>
      <c r="G28" s="157"/>
      <c r="H28" s="55"/>
      <c r="I28" s="55"/>
      <c r="J28" s="55"/>
      <c r="K28" s="55"/>
      <c r="L28" s="29"/>
      <c r="M28" s="27"/>
    </row>
    <row r="29" spans="2:17" x14ac:dyDescent="0.3">
      <c r="B29" s="4"/>
      <c r="C29" s="59"/>
      <c r="D29" s="59"/>
      <c r="E29" s="46" t="str">
        <f>"   "&amp;"( "&amp;P5&amp;" )"</f>
        <v xml:space="preserve">   ( 210 )</v>
      </c>
      <c r="F29" s="937"/>
      <c r="G29" s="937"/>
      <c r="H29" s="55"/>
      <c r="I29" s="55"/>
      <c r="J29" s="55"/>
      <c r="K29" s="55"/>
      <c r="L29" s="29"/>
      <c r="M29" s="27"/>
    </row>
    <row r="30" spans="2:17" x14ac:dyDescent="0.3">
      <c r="B30" s="4"/>
      <c r="C30" s="59"/>
      <c r="D30" s="55"/>
      <c r="E30" s="55"/>
      <c r="F30" s="55"/>
      <c r="G30" s="55"/>
      <c r="H30" s="55"/>
      <c r="I30" s="55"/>
      <c r="J30" s="55"/>
      <c r="K30" s="55"/>
      <c r="L30" s="26"/>
      <c r="M30" s="27"/>
    </row>
    <row r="31" spans="2:17" x14ac:dyDescent="0.3">
      <c r="B31" s="4"/>
      <c r="C31" s="59"/>
      <c r="D31" s="55"/>
      <c r="E31" s="55"/>
      <c r="F31" s="55"/>
      <c r="G31" s="55"/>
      <c r="H31" s="55"/>
      <c r="I31" s="55"/>
      <c r="J31" s="55"/>
      <c r="K31" s="55"/>
      <c r="L31" s="23"/>
      <c r="M31" s="24"/>
    </row>
    <row r="32" spans="2:17" x14ac:dyDescent="0.3">
      <c r="B32" s="4"/>
      <c r="C32" s="59"/>
      <c r="D32" s="55"/>
      <c r="E32" s="55"/>
      <c r="F32" s="55"/>
      <c r="G32" s="55"/>
      <c r="H32" s="55"/>
      <c r="I32" s="55"/>
      <c r="J32" s="122"/>
      <c r="K32" s="122"/>
      <c r="L32" s="23"/>
      <c r="M32" s="24"/>
    </row>
    <row r="33" spans="2:25" x14ac:dyDescent="0.3">
      <c r="B33" s="4"/>
      <c r="C33" s="59"/>
      <c r="D33" s="55"/>
      <c r="E33" s="55"/>
      <c r="F33" s="55"/>
      <c r="G33" s="55"/>
      <c r="H33" s="55"/>
      <c r="I33" s="55"/>
      <c r="J33" s="55"/>
      <c r="K33" s="55"/>
      <c r="L33" s="23"/>
      <c r="M33" s="24"/>
    </row>
    <row r="34" spans="2:25" x14ac:dyDescent="0.3">
      <c r="B34" s="4"/>
      <c r="C34" s="55"/>
      <c r="D34" s="55"/>
      <c r="E34" s="55"/>
      <c r="F34" s="59"/>
      <c r="G34" s="59"/>
      <c r="H34" s="59"/>
      <c r="I34" s="59"/>
      <c r="J34" s="55"/>
      <c r="K34" s="55"/>
      <c r="L34" s="55"/>
      <c r="M34" s="24"/>
    </row>
    <row r="35" spans="2:25" ht="16.2" thickBot="1" x14ac:dyDescent="0.35">
      <c r="B35" s="19"/>
      <c r="C35" s="65"/>
      <c r="D35" s="20"/>
      <c r="E35" s="130"/>
      <c r="F35" s="1282" t="s">
        <v>268</v>
      </c>
      <c r="G35" s="20"/>
      <c r="H35" s="65"/>
      <c r="I35" s="65"/>
      <c r="J35" s="20"/>
      <c r="K35" s="20"/>
      <c r="L35" s="20"/>
      <c r="M35" s="72"/>
    </row>
    <row r="36" spans="2:25" x14ac:dyDescent="0.3">
      <c r="B36" s="4"/>
      <c r="C36" s="55" t="s">
        <v>263</v>
      </c>
      <c r="D36" s="55"/>
      <c r="E36" s="55"/>
      <c r="F36" s="46" t="s">
        <v>53</v>
      </c>
      <c r="G36" s="53"/>
      <c r="I36" s="55"/>
      <c r="J36" s="55"/>
      <c r="K36" s="55"/>
      <c r="L36" s="55"/>
      <c r="M36" s="10"/>
      <c r="W36" s="55"/>
      <c r="X36" s="55"/>
    </row>
    <row r="37" spans="2:25" x14ac:dyDescent="0.3">
      <c r="B37" s="4"/>
      <c r="C37" s="55" t="s">
        <v>54</v>
      </c>
      <c r="D37" s="55"/>
      <c r="E37" s="55"/>
      <c r="F37" s="46" t="s">
        <v>55</v>
      </c>
      <c r="K37" s="55"/>
      <c r="L37" s="55"/>
      <c r="M37" s="10"/>
    </row>
    <row r="38" spans="2:25" x14ac:dyDescent="0.3">
      <c r="B38" s="4"/>
      <c r="C38" s="122" t="s">
        <v>62</v>
      </c>
      <c r="D38" s="55"/>
      <c r="E38" s="55"/>
      <c r="F38" s="164" t="s">
        <v>146</v>
      </c>
      <c r="G38" s="53"/>
      <c r="I38" s="46"/>
      <c r="J38" s="55"/>
      <c r="K38" s="55"/>
      <c r="L38" s="55"/>
      <c r="M38" s="10"/>
    </row>
    <row r="39" spans="2:25" ht="15.6" x14ac:dyDescent="0.3">
      <c r="B39" s="4"/>
      <c r="C39" s="55" t="s">
        <v>926</v>
      </c>
      <c r="D39" s="55"/>
      <c r="E39" s="55"/>
      <c r="F39" s="14" t="s">
        <v>119</v>
      </c>
      <c r="G39" s="164"/>
      <c r="I39" s="1449" t="s">
        <v>1221</v>
      </c>
      <c r="J39" s="55"/>
      <c r="K39" s="55"/>
      <c r="L39" s="55"/>
      <c r="M39" s="10"/>
      <c r="X39" s="55"/>
      <c r="Y39" s="55"/>
    </row>
    <row r="40" spans="2:25" x14ac:dyDescent="0.3">
      <c r="B40" s="4"/>
      <c r="C40" s="55" t="s">
        <v>49</v>
      </c>
      <c r="D40" s="55"/>
      <c r="E40" s="55"/>
      <c r="F40" s="46" t="str">
        <f>VLOOKUP(I7,Данные!A2:I26,6,FALSE())</f>
        <v>25010.00176</v>
      </c>
      <c r="G40" s="54"/>
      <c r="I40" s="17"/>
      <c r="J40" s="55"/>
      <c r="K40" s="55"/>
      <c r="L40" s="55"/>
      <c r="M40" s="10"/>
    </row>
    <row r="41" spans="2:25" x14ac:dyDescent="0.3">
      <c r="B41" s="4"/>
      <c r="C41" s="55" t="s">
        <v>51</v>
      </c>
      <c r="D41" s="55"/>
      <c r="E41" s="55"/>
      <c r="F41" s="46" t="str">
        <f>IF(I12&gt;1900,Данные!G4,Данные!G3)</f>
        <v>25011.00007</v>
      </c>
      <c r="G41" s="53"/>
      <c r="I41" s="55"/>
      <c r="J41" s="55"/>
      <c r="K41" s="55"/>
      <c r="L41" s="55"/>
      <c r="M41" s="10"/>
    </row>
    <row r="42" spans="2:25" x14ac:dyDescent="0.3">
      <c r="B42" s="4"/>
      <c r="C42" s="55" t="s">
        <v>93</v>
      </c>
      <c r="D42" s="55"/>
      <c r="E42" s="17"/>
      <c r="F42" s="17" t="s">
        <v>57</v>
      </c>
      <c r="G42" s="53"/>
      <c r="I42" s="55"/>
      <c r="J42" s="55"/>
      <c r="K42" s="55"/>
      <c r="L42" s="55"/>
      <c r="M42" s="10"/>
    </row>
    <row r="43" spans="2:25" x14ac:dyDescent="0.3">
      <c r="B43" s="4"/>
      <c r="G43" s="17"/>
      <c r="I43" s="55"/>
      <c r="L43" s="55"/>
      <c r="M43" s="10"/>
      <c r="P43" s="43"/>
    </row>
    <row r="44" spans="2:25" x14ac:dyDescent="0.3">
      <c r="B44" s="4"/>
      <c r="C44" s="55" t="s">
        <v>59</v>
      </c>
      <c r="D44" s="55"/>
      <c r="E44" s="55"/>
      <c r="F44" s="1168" t="s">
        <v>90</v>
      </c>
      <c r="G44" s="52"/>
      <c r="H44" t="s">
        <v>1164</v>
      </c>
      <c r="I44" s="55"/>
      <c r="J44" s="43"/>
      <c r="L44" s="55"/>
      <c r="M44" s="10"/>
    </row>
    <row r="45" spans="2:25" ht="15" thickBot="1" x14ac:dyDescent="0.35">
      <c r="B45" s="4"/>
      <c r="C45" s="55" t="s">
        <v>65</v>
      </c>
      <c r="D45" s="55"/>
      <c r="E45" s="17"/>
      <c r="G45" s="17"/>
      <c r="H45" s="17" t="s">
        <v>66</v>
      </c>
      <c r="J45" s="55"/>
      <c r="K45" s="55"/>
      <c r="L45" s="55"/>
      <c r="M45" s="10"/>
    </row>
    <row r="46" spans="2:25" ht="15" thickBot="1" x14ac:dyDescent="0.35">
      <c r="B46" s="1692" t="s">
        <v>67</v>
      </c>
      <c r="C46" s="1694"/>
      <c r="D46" s="1693"/>
      <c r="E46" s="37" t="s">
        <v>68</v>
      </c>
      <c r="F46" s="1692" t="s">
        <v>67</v>
      </c>
      <c r="G46" s="1694"/>
      <c r="H46" s="1693"/>
      <c r="I46" s="1692" t="s">
        <v>69</v>
      </c>
      <c r="J46" s="1693"/>
      <c r="K46" s="1692" t="s">
        <v>1165</v>
      </c>
      <c r="L46" s="1694"/>
      <c r="M46" s="1693"/>
    </row>
    <row r="47" spans="2:25" ht="15" thickBot="1" x14ac:dyDescent="0.35">
      <c r="B47" s="1621">
        <f ca="1">TODAY()</f>
        <v>45428</v>
      </c>
      <c r="C47" s="1643"/>
      <c r="D47" s="1571"/>
      <c r="E47" s="39"/>
      <c r="F47" s="1570"/>
      <c r="G47" s="1643"/>
      <c r="H47" s="1571"/>
      <c r="I47" s="1570"/>
      <c r="J47" s="1571"/>
      <c r="K47" s="1570"/>
      <c r="L47" s="1643"/>
      <c r="M47" s="1571"/>
    </row>
    <row r="48" spans="2:25" ht="15" customHeight="1" thickBot="1" x14ac:dyDescent="0.35">
      <c r="B48" s="1696" t="s">
        <v>70</v>
      </c>
      <c r="C48" s="1697"/>
      <c r="D48" s="1698"/>
      <c r="E48" s="74"/>
      <c r="F48" s="1293"/>
      <c r="G48" s="1294"/>
      <c r="H48" s="3"/>
      <c r="I48" s="1293"/>
      <c r="J48" s="3"/>
      <c r="K48" s="55"/>
      <c r="L48" s="55"/>
      <c r="M48" s="10"/>
    </row>
    <row r="49" spans="1:15" ht="14.4" customHeight="1" thickBot="1" x14ac:dyDescent="0.35">
      <c r="B49" s="1"/>
      <c r="C49" s="1279"/>
      <c r="D49" s="1279"/>
      <c r="E49" s="2"/>
      <c r="F49" s="71"/>
      <c r="G49" s="71"/>
      <c r="H49" s="2"/>
      <c r="I49" s="2"/>
      <c r="J49" s="2"/>
      <c r="K49" s="2"/>
      <c r="L49" s="2"/>
      <c r="M49" s="80"/>
    </row>
    <row r="50" spans="1:15" x14ac:dyDescent="0.3">
      <c r="A50" s="63"/>
      <c r="B50" s="1703" t="s">
        <v>1161</v>
      </c>
      <c r="C50" s="1704"/>
      <c r="D50" s="1705"/>
      <c r="E50" s="1259" t="s">
        <v>295</v>
      </c>
      <c r="F50" s="1699" t="s">
        <v>1162</v>
      </c>
      <c r="G50" s="1700"/>
      <c r="H50" s="1632" t="s">
        <v>296</v>
      </c>
      <c r="I50" s="1633"/>
      <c r="J50" s="107" t="s">
        <v>297</v>
      </c>
      <c r="K50" s="1631" t="s">
        <v>298</v>
      </c>
      <c r="L50" s="1632"/>
      <c r="M50" s="1633"/>
    </row>
    <row r="51" spans="1:15" ht="15" thickBot="1" x14ac:dyDescent="0.35">
      <c r="B51" s="1706"/>
      <c r="C51" s="1707"/>
      <c r="D51" s="1708"/>
      <c r="E51" s="1258" t="s">
        <v>300</v>
      </c>
      <c r="F51" s="1701"/>
      <c r="G51" s="1702"/>
      <c r="H51" s="1634" t="s">
        <v>302</v>
      </c>
      <c r="I51" s="1611"/>
      <c r="J51" s="111"/>
      <c r="K51" s="1610" t="s">
        <v>303</v>
      </c>
      <c r="L51" s="1634"/>
      <c r="M51" s="1611"/>
    </row>
    <row r="52" spans="1:15" ht="15" thickBot="1" x14ac:dyDescent="0.35">
      <c r="B52" s="1592" t="s">
        <v>400</v>
      </c>
      <c r="C52" s="1630"/>
      <c r="D52" s="1593"/>
      <c r="E52" s="195">
        <v>40</v>
      </c>
      <c r="F52" s="1592">
        <v>1</v>
      </c>
      <c r="G52" s="1593"/>
      <c r="H52" s="1592">
        <v>20</v>
      </c>
      <c r="I52" s="1593"/>
      <c r="J52" s="195">
        <v>3</v>
      </c>
      <c r="K52" s="1592">
        <f>ROUND(Q7*R7*(S7+S8)/1000000*2.045*2.3/1000,3)</f>
        <v>9.1440000000000001</v>
      </c>
      <c r="L52" s="1630"/>
      <c r="M52" s="1593"/>
    </row>
    <row r="54" spans="1:15" x14ac:dyDescent="0.3">
      <c r="O54" s="43"/>
    </row>
  </sheetData>
  <mergeCells count="33">
    <mergeCell ref="W12:X12"/>
    <mergeCell ref="W13:X13"/>
    <mergeCell ref="W14:X14"/>
    <mergeCell ref="Q6:S6"/>
    <mergeCell ref="Q2:R2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O2:P2"/>
    <mergeCell ref="O9:P9"/>
    <mergeCell ref="O14:P14"/>
    <mergeCell ref="F46:H46"/>
    <mergeCell ref="O18:P18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N18" sqref="N18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83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1170</v>
      </c>
      <c r="K1" s="59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1097</v>
      </c>
      <c r="K2" s="55"/>
      <c r="L2" s="1709" t="s">
        <v>84</v>
      </c>
      <c r="M2" s="1710"/>
      <c r="O2">
        <v>1529.5</v>
      </c>
    </row>
    <row r="3" spans="2:17" x14ac:dyDescent="0.3">
      <c r="B3" s="12" t="s">
        <v>2</v>
      </c>
      <c r="C3" s="71"/>
      <c r="D3" s="5"/>
      <c r="E3" s="5"/>
      <c r="F3" s="612" t="s">
        <v>1173</v>
      </c>
      <c r="G3" s="5"/>
      <c r="H3" s="71" t="s">
        <v>271</v>
      </c>
      <c r="I3" s="1265" t="s">
        <v>855</v>
      </c>
      <c r="J3" s="131"/>
      <c r="K3" s="1261"/>
      <c r="L3" s="935" t="s">
        <v>1011</v>
      </c>
      <c r="M3" s="61">
        <v>1500</v>
      </c>
      <c r="O3">
        <v>1169.5</v>
      </c>
    </row>
    <row r="4" spans="2:17" ht="15.6" customHeight="1" x14ac:dyDescent="0.3">
      <c r="B4" s="4" t="s">
        <v>4</v>
      </c>
      <c r="C4" s="59"/>
      <c r="D4" s="55"/>
      <c r="E4" s="55"/>
      <c r="F4" s="622" t="s">
        <v>855</v>
      </c>
      <c r="G4" s="55"/>
      <c r="H4" s="55"/>
      <c r="I4" s="59"/>
      <c r="J4" s="10"/>
      <c r="K4" s="59"/>
      <c r="L4" s="935" t="s">
        <v>1012</v>
      </c>
      <c r="M4" s="61">
        <v>1200</v>
      </c>
      <c r="O4">
        <v>105</v>
      </c>
    </row>
    <row r="5" spans="2:17" ht="15" thickBot="1" x14ac:dyDescent="0.35">
      <c r="B5" s="4" t="s">
        <v>6</v>
      </c>
      <c r="C5" s="59"/>
      <c r="D5" s="55"/>
      <c r="E5" s="55"/>
      <c r="F5" s="613" t="s">
        <v>356</v>
      </c>
      <c r="G5" s="55"/>
      <c r="H5" s="55"/>
      <c r="I5" s="55"/>
      <c r="J5" s="10"/>
      <c r="K5" s="59"/>
      <c r="L5" s="936" t="s">
        <v>8</v>
      </c>
      <c r="M5" s="70">
        <v>60</v>
      </c>
      <c r="O5">
        <v>9.1</v>
      </c>
    </row>
    <row r="6" spans="2:17" ht="15" thickBot="1" x14ac:dyDescent="0.35">
      <c r="B6" s="19" t="s">
        <v>10</v>
      </c>
      <c r="C6" s="65"/>
      <c r="D6" s="20"/>
      <c r="E6" s="20"/>
      <c r="F6" s="614">
        <v>1</v>
      </c>
      <c r="G6" s="20"/>
      <c r="H6" s="20"/>
      <c r="I6" s="20"/>
      <c r="J6" s="40"/>
      <c r="K6" s="59"/>
      <c r="L6" s="933" t="s">
        <v>19</v>
      </c>
      <c r="M6" s="934">
        <f>ROUNDUP((M3*M3-M4*M4)*3.1415296*M5*M8/4000000,0)</f>
        <v>348</v>
      </c>
    </row>
    <row r="7" spans="2:17" ht="15" thickBot="1" x14ac:dyDescent="0.35">
      <c r="B7" s="4" t="s">
        <v>16</v>
      </c>
      <c r="C7" s="55"/>
      <c r="D7" s="55"/>
      <c r="E7" s="55"/>
      <c r="F7" s="615" t="s">
        <v>9</v>
      </c>
      <c r="G7" s="55"/>
      <c r="H7" s="59"/>
      <c r="I7" s="55" t="s">
        <v>17</v>
      </c>
      <c r="J7" s="15">
        <f>F8/F9</f>
        <v>0.46575342465753422</v>
      </c>
      <c r="K7" s="178"/>
      <c r="L7" s="475"/>
      <c r="M7" s="932"/>
    </row>
    <row r="8" spans="2:17" ht="15" thickBot="1" x14ac:dyDescent="0.35">
      <c r="B8" s="4" t="s">
        <v>19</v>
      </c>
      <c r="C8" s="55"/>
      <c r="D8" s="55"/>
      <c r="E8" s="55"/>
      <c r="F8" s="611">
        <f>VLOOKUP(I3,B58:I73,5,FALSE)</f>
        <v>340</v>
      </c>
      <c r="G8" s="55"/>
      <c r="H8" s="59"/>
      <c r="I8" s="55" t="s">
        <v>23</v>
      </c>
      <c r="J8" s="15">
        <f>F8/F12</f>
        <v>0.31267242964870334</v>
      </c>
      <c r="K8" s="178"/>
      <c r="L8" s="938" t="s">
        <v>1013</v>
      </c>
      <c r="M8" s="939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22</v>
      </c>
      <c r="C9" s="55"/>
      <c r="D9" s="55"/>
      <c r="E9" s="55"/>
      <c r="F9" s="611">
        <f>VLOOKUP(I3,B58:I73,6,FALSE)</f>
        <v>730</v>
      </c>
      <c r="G9" s="9"/>
      <c r="H9" s="55"/>
      <c r="I9" s="55"/>
      <c r="J9" s="18"/>
      <c r="K9" s="514"/>
      <c r="L9" s="1266" t="s">
        <v>255</v>
      </c>
      <c r="M9" s="40">
        <f>ROUNDUP(((E24+I13)*(E24+I13)-(E21-I13)*(E21-I13))*J18*3.1415926*M8/4000000,0)</f>
        <v>725</v>
      </c>
    </row>
    <row r="10" spans="2:17" x14ac:dyDescent="0.3">
      <c r="B10" s="4" t="s">
        <v>339</v>
      </c>
      <c r="C10" s="55"/>
      <c r="D10" s="55"/>
      <c r="E10" s="55"/>
      <c r="F10" s="611">
        <f>F11-F9</f>
        <v>315.5</v>
      </c>
      <c r="G10" s="55"/>
      <c r="H10" s="55"/>
      <c r="I10" s="55"/>
      <c r="J10" s="18"/>
      <c r="K10" s="514"/>
    </row>
    <row r="11" spans="2:17" x14ac:dyDescent="0.3">
      <c r="B11" s="4" t="s">
        <v>27</v>
      </c>
      <c r="C11" s="55"/>
      <c r="D11" s="55"/>
      <c r="E11" s="55"/>
      <c r="F11" s="616">
        <f>VLOOKUP(I3,B58:I73,7,FALSE)</f>
        <v>1045.5</v>
      </c>
      <c r="G11" s="55"/>
      <c r="H11" s="55"/>
      <c r="I11" s="55"/>
      <c r="J11" s="18"/>
      <c r="K11" s="514"/>
    </row>
    <row r="12" spans="2:17" ht="15" thickBot="1" x14ac:dyDescent="0.35">
      <c r="B12" s="19" t="s">
        <v>32</v>
      </c>
      <c r="C12" s="20"/>
      <c r="D12" s="20"/>
      <c r="E12" s="20"/>
      <c r="F12" s="617">
        <f>ROUNDUP(F11*1.04,1)</f>
        <v>1087.3999999999999</v>
      </c>
      <c r="G12" s="20"/>
      <c r="H12" s="20"/>
      <c r="I12" s="20"/>
      <c r="J12" s="22"/>
      <c r="K12" s="514"/>
    </row>
    <row r="13" spans="2:17" x14ac:dyDescent="0.3">
      <c r="B13" s="12"/>
      <c r="C13" s="1276" t="s">
        <v>220</v>
      </c>
      <c r="D13" s="159"/>
      <c r="E13" s="45"/>
      <c r="F13" s="160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301" t="str">
        <f>" мм."</f>
        <v xml:space="preserve"> мм.</v>
      </c>
      <c r="K13" s="23"/>
    </row>
    <row r="14" spans="2:17" x14ac:dyDescent="0.3">
      <c r="B14" s="4"/>
      <c r="C14" s="55"/>
      <c r="D14" s="55"/>
      <c r="E14" s="55"/>
      <c r="F14" s="55"/>
      <c r="G14" s="55"/>
      <c r="H14" s="55"/>
      <c r="I14" s="23"/>
      <c r="J14" s="24"/>
      <c r="K14" s="23"/>
      <c r="O14" s="59"/>
      <c r="P14" s="59"/>
      <c r="Q14" s="59"/>
    </row>
    <row r="15" spans="2:17" ht="15.6" customHeight="1" x14ac:dyDescent="0.3">
      <c r="B15" s="4"/>
      <c r="C15" s="55"/>
      <c r="D15" s="55"/>
      <c r="E15" s="55"/>
      <c r="F15" s="55"/>
      <c r="G15" s="55"/>
      <c r="H15" s="46"/>
      <c r="I15" s="23"/>
      <c r="J15" s="24"/>
      <c r="K15" s="23"/>
      <c r="O15" s="59"/>
      <c r="P15" s="608"/>
      <c r="Q15" s="59"/>
    </row>
    <row r="16" spans="2:17" ht="15.6" customHeight="1" x14ac:dyDescent="0.3">
      <c r="B16" s="4"/>
      <c r="C16" s="55"/>
      <c r="D16" s="55"/>
      <c r="E16" s="55"/>
      <c r="F16" s="55"/>
      <c r="G16" s="55"/>
      <c r="H16" s="55"/>
      <c r="I16" s="28"/>
      <c r="J16" s="27"/>
      <c r="K16" s="182"/>
      <c r="O16" s="59"/>
      <c r="P16" s="608"/>
      <c r="Q16" s="59"/>
    </row>
    <row r="17" spans="2:20" ht="15" customHeight="1" x14ac:dyDescent="0.3">
      <c r="B17" s="4"/>
      <c r="C17" s="55"/>
      <c r="D17" s="55"/>
      <c r="E17" s="55"/>
      <c r="F17" s="55"/>
      <c r="G17" s="55"/>
      <c r="H17" s="55"/>
      <c r="I17" s="26"/>
      <c r="J17" s="158"/>
      <c r="K17" s="1262"/>
      <c r="O17" s="59"/>
      <c r="P17" s="608"/>
      <c r="Q17" s="59"/>
    </row>
    <row r="18" spans="2:20" ht="15" customHeight="1" x14ac:dyDescent="0.3">
      <c r="B18" s="4"/>
      <c r="C18" s="55"/>
      <c r="D18" s="55"/>
      <c r="E18" s="55"/>
      <c r="F18" s="55"/>
      <c r="G18" s="55"/>
      <c r="H18" s="122" t="str">
        <f>IF(Данные!B42=TRUE,"ХХ","")</f>
        <v/>
      </c>
      <c r="I18" s="59"/>
      <c r="J18" s="432">
        <f>ROUNDUP(VLOOKUP(I3,B58:E64,4,FALSE)*0.985,0)</f>
        <v>104</v>
      </c>
      <c r="K18" s="1263"/>
      <c r="M18" s="610"/>
      <c r="N18" s="946"/>
      <c r="O18" s="59"/>
      <c r="P18" s="608"/>
      <c r="Q18" s="59"/>
    </row>
    <row r="19" spans="2:20" ht="15.6" customHeight="1" x14ac:dyDescent="0.3">
      <c r="B19" s="4"/>
      <c r="C19" s="55"/>
      <c r="D19" s="55"/>
      <c r="E19" s="55"/>
      <c r="F19" s="55"/>
      <c r="G19" s="55"/>
      <c r="H19" s="122" t="str">
        <f>IF(Данные!B42=TRUE,"ХХ","")</f>
        <v/>
      </c>
      <c r="I19" s="29"/>
      <c r="J19" s="432" t="str">
        <f>"( "&amp;M5&amp;" )"</f>
        <v>( 60 )</v>
      </c>
      <c r="K19" s="1263"/>
      <c r="M19" s="610"/>
      <c r="N19" s="946"/>
      <c r="O19" s="946"/>
      <c r="P19" s="608"/>
      <c r="Q19" s="59"/>
    </row>
    <row r="20" spans="2:20" ht="15.6" customHeight="1" x14ac:dyDescent="0.3">
      <c r="B20" s="4"/>
      <c r="C20" s="155"/>
      <c r="D20" s="55"/>
      <c r="E20" s="55"/>
      <c r="F20" s="55"/>
      <c r="G20" s="55"/>
      <c r="H20" s="156"/>
      <c r="I20" s="29"/>
      <c r="J20" s="158"/>
      <c r="K20" s="1262"/>
      <c r="M20" s="610"/>
      <c r="N20" s="946"/>
      <c r="O20" s="946"/>
      <c r="P20" s="608"/>
      <c r="Q20" s="59"/>
    </row>
    <row r="21" spans="2:20" x14ac:dyDescent="0.3">
      <c r="B21" s="4"/>
      <c r="C21" s="55"/>
      <c r="D21" s="31"/>
      <c r="E21" s="157">
        <f>ROUNDDOWN(VLOOKUP(I3,B58:E64,3,FALSE)*0.994,0)</f>
        <v>1172</v>
      </c>
      <c r="F21" s="55"/>
      <c r="G21" s="55"/>
      <c r="H21" s="55"/>
      <c r="I21" s="29"/>
      <c r="J21" s="27"/>
      <c r="K21" s="182"/>
    </row>
    <row r="22" spans="2:20" x14ac:dyDescent="0.3">
      <c r="B22" s="4"/>
      <c r="C22" s="55"/>
      <c r="D22" s="59"/>
      <c r="E22" s="937" t="str">
        <f>"( "&amp;M4&amp;" )"</f>
        <v>( 1200 )</v>
      </c>
      <c r="F22" s="55"/>
      <c r="G22" s="55"/>
      <c r="H22" s="55"/>
      <c r="I22" s="29"/>
      <c r="J22" s="27"/>
      <c r="K22" s="182"/>
    </row>
    <row r="23" spans="2:20" x14ac:dyDescent="0.3">
      <c r="B23" s="4"/>
      <c r="C23" s="33"/>
      <c r="D23" s="59"/>
      <c r="E23" s="34"/>
      <c r="F23" s="55"/>
      <c r="G23" s="55"/>
      <c r="H23" s="55"/>
      <c r="I23" s="29"/>
      <c r="J23" s="27"/>
      <c r="K23" s="182"/>
      <c r="T23" s="59"/>
    </row>
    <row r="24" spans="2:20" x14ac:dyDescent="0.3">
      <c r="B24" s="4"/>
      <c r="C24" s="59"/>
      <c r="D24" s="55"/>
      <c r="E24" s="157">
        <f>ROUNDUP(VLOOKUP(I3,B58:E64,2,FALSE)*0.985,0)</f>
        <v>1527</v>
      </c>
      <c r="F24" s="31"/>
      <c r="G24" s="55"/>
      <c r="H24" s="55"/>
      <c r="I24" s="29"/>
      <c r="J24" s="27"/>
      <c r="K24" s="182"/>
    </row>
    <row r="25" spans="2:20" x14ac:dyDescent="0.3">
      <c r="B25" s="4"/>
      <c r="C25" s="59"/>
      <c r="D25" s="55"/>
      <c r="E25" s="937" t="str">
        <f>"( "&amp;M3&amp;" )"</f>
        <v>( 1500 )</v>
      </c>
      <c r="F25" s="31"/>
      <c r="G25" s="55"/>
      <c r="H25" s="55"/>
      <c r="I25" s="29"/>
      <c r="J25" s="27"/>
      <c r="K25" s="182"/>
    </row>
    <row r="26" spans="2:20" x14ac:dyDescent="0.3">
      <c r="B26" s="4"/>
      <c r="C26" s="55"/>
      <c r="D26" s="55"/>
      <c r="E26" s="55"/>
      <c r="F26" s="55"/>
      <c r="G26" s="55"/>
      <c r="H26" s="55"/>
      <c r="I26" s="29"/>
      <c r="J26" s="27"/>
      <c r="K26" s="182"/>
    </row>
    <row r="27" spans="2:20" x14ac:dyDescent="0.3">
      <c r="B27" s="4"/>
      <c r="C27" s="55"/>
      <c r="D27" s="55"/>
      <c r="E27" s="55"/>
      <c r="F27" s="55"/>
      <c r="G27" s="55"/>
      <c r="H27" s="55"/>
      <c r="I27" s="26"/>
      <c r="J27" s="27"/>
      <c r="K27" s="182"/>
    </row>
    <row r="28" spans="2:20" x14ac:dyDescent="0.3">
      <c r="B28" s="4"/>
      <c r="C28" s="55"/>
      <c r="D28" s="55"/>
      <c r="E28" s="55"/>
      <c r="F28" s="55"/>
      <c r="G28" s="55"/>
      <c r="H28" s="122"/>
      <c r="I28" s="23"/>
      <c r="J28" s="24"/>
      <c r="K28" s="23"/>
    </row>
    <row r="29" spans="2:20" x14ac:dyDescent="0.3">
      <c r="B29" s="4"/>
      <c r="C29" s="55"/>
      <c r="D29" s="55"/>
      <c r="E29" s="59"/>
      <c r="F29" s="55"/>
      <c r="G29" s="55"/>
      <c r="H29" s="55"/>
      <c r="I29" s="23"/>
      <c r="J29" s="24"/>
      <c r="K29" s="23"/>
    </row>
    <row r="30" spans="2:20" x14ac:dyDescent="0.3">
      <c r="B30" s="4"/>
      <c r="C30" s="124"/>
      <c r="D30" s="55"/>
      <c r="E30" s="55"/>
      <c r="F30" s="55"/>
      <c r="G30" s="55"/>
      <c r="H30" s="55"/>
      <c r="I30" s="23"/>
      <c r="J30" s="24"/>
      <c r="K30" s="23"/>
    </row>
    <row r="31" spans="2:20" x14ac:dyDescent="0.3">
      <c r="B31" s="4"/>
      <c r="C31" s="55" t="s">
        <v>357</v>
      </c>
      <c r="D31" s="55"/>
      <c r="E31" s="55"/>
      <c r="F31" s="55"/>
      <c r="G31" s="59"/>
      <c r="H31" s="55"/>
      <c r="I31" s="55"/>
      <c r="J31" s="24"/>
      <c r="K31" s="23"/>
    </row>
    <row r="32" spans="2:20" ht="16.2" thickBot="1" x14ac:dyDescent="0.35">
      <c r="B32" s="19"/>
      <c r="C32" s="123" t="str">
        <f>IF(OR(Данные!B38=TRUE,Данные!B42=TRUE),"Использовать холодильники","")</f>
        <v/>
      </c>
      <c r="D32" s="20"/>
      <c r="E32" s="130"/>
      <c r="F32" s="20"/>
      <c r="G32" s="65"/>
      <c r="H32" s="20"/>
      <c r="I32" s="20"/>
      <c r="J32" s="72"/>
      <c r="K32" s="23"/>
    </row>
    <row r="33" spans="2:12" x14ac:dyDescent="0.3">
      <c r="B33" s="4"/>
      <c r="C33" s="55" t="s">
        <v>263</v>
      </c>
      <c r="D33" s="55"/>
      <c r="E33" s="55"/>
      <c r="F33" s="53" t="s">
        <v>53</v>
      </c>
      <c r="G33" s="55"/>
      <c r="H33" s="55"/>
      <c r="I33" s="55"/>
      <c r="J33" s="10"/>
      <c r="K33" s="23"/>
    </row>
    <row r="34" spans="2:12" x14ac:dyDescent="0.3">
      <c r="B34" s="4"/>
      <c r="C34" s="55" t="s">
        <v>59</v>
      </c>
      <c r="D34" s="55"/>
      <c r="E34" s="55"/>
      <c r="F34" s="52" t="s">
        <v>90</v>
      </c>
      <c r="G34" s="55"/>
      <c r="H34" s="55"/>
      <c r="I34" s="55"/>
      <c r="J34" s="10"/>
      <c r="K34" s="59"/>
    </row>
    <row r="35" spans="2:12" x14ac:dyDescent="0.3">
      <c r="B35" s="4"/>
      <c r="C35" s="55" t="s">
        <v>54</v>
      </c>
      <c r="D35" s="55"/>
      <c r="E35" s="55"/>
      <c r="F35" s="53" t="s">
        <v>55</v>
      </c>
      <c r="G35" s="55"/>
      <c r="H35" s="55"/>
      <c r="I35" s="55"/>
      <c r="J35" s="10"/>
      <c r="K35" s="59"/>
    </row>
    <row r="36" spans="2:12" x14ac:dyDescent="0.3">
      <c r="B36" s="4"/>
      <c r="C36" s="122" t="s">
        <v>62</v>
      </c>
      <c r="D36" s="55"/>
      <c r="E36" s="55"/>
      <c r="F36" s="164" t="s">
        <v>358</v>
      </c>
      <c r="G36" s="163"/>
      <c r="H36" s="55"/>
      <c r="I36" s="55" t="s">
        <v>1174</v>
      </c>
      <c r="J36" s="10"/>
      <c r="K36" s="59"/>
    </row>
    <row r="37" spans="2:12" x14ac:dyDescent="0.3">
      <c r="B37" s="4"/>
      <c r="C37" s="55" t="s">
        <v>926</v>
      </c>
      <c r="D37" s="55"/>
      <c r="E37" s="55"/>
      <c r="F37" s="54" t="s">
        <v>116</v>
      </c>
      <c r="G37" s="17" t="s">
        <v>91</v>
      </c>
      <c r="H37" s="55"/>
      <c r="I37" s="55"/>
      <c r="J37" s="10"/>
      <c r="K37" s="59"/>
    </row>
    <row r="38" spans="2:12" x14ac:dyDescent="0.3">
      <c r="B38" s="4"/>
      <c r="C38" s="55" t="s">
        <v>49</v>
      </c>
      <c r="D38" s="55"/>
      <c r="E38" s="55"/>
      <c r="F38" s="53" t="str">
        <f>VLOOKUP(F7,Данные!A3:I27,6,FALSE())</f>
        <v>25010.00173</v>
      </c>
      <c r="G38" s="55"/>
      <c r="H38" s="55"/>
      <c r="I38" s="55"/>
      <c r="J38" s="10"/>
      <c r="K38" s="59"/>
    </row>
    <row r="39" spans="2:12" x14ac:dyDescent="0.3">
      <c r="B39" s="4"/>
      <c r="C39" s="55" t="s">
        <v>51</v>
      </c>
      <c r="D39" s="55"/>
      <c r="E39" s="55"/>
      <c r="F39" s="53" t="s">
        <v>92</v>
      </c>
      <c r="G39" s="55"/>
      <c r="H39" s="55"/>
      <c r="I39" s="55"/>
      <c r="J39" s="10"/>
      <c r="K39" s="59"/>
    </row>
    <row r="40" spans="2:12" x14ac:dyDescent="0.3">
      <c r="B40" s="4"/>
      <c r="C40" s="55" t="s">
        <v>65</v>
      </c>
      <c r="D40" s="55"/>
      <c r="E40" s="17"/>
      <c r="F40" s="17" t="s">
        <v>66</v>
      </c>
      <c r="G40" s="55"/>
      <c r="H40" s="55"/>
      <c r="I40" s="55"/>
      <c r="J40" s="10"/>
      <c r="K40" s="59"/>
    </row>
    <row r="41" spans="2:12" ht="15" thickBot="1" x14ac:dyDescent="0.35">
      <c r="B41" s="4"/>
      <c r="C41" s="55" t="s">
        <v>93</v>
      </c>
      <c r="D41" s="55"/>
      <c r="E41" s="17"/>
      <c r="F41" s="17" t="s">
        <v>57</v>
      </c>
      <c r="G41" s="55"/>
      <c r="H41" s="55"/>
      <c r="I41" s="55"/>
      <c r="J41" s="10"/>
      <c r="K41" s="59"/>
    </row>
    <row r="42" spans="2:12" ht="15" thickBot="1" x14ac:dyDescent="0.35">
      <c r="B42" s="12"/>
      <c r="C42" s="5" t="s">
        <v>67</v>
      </c>
      <c r="D42" s="13"/>
      <c r="E42" s="37" t="s">
        <v>68</v>
      </c>
      <c r="F42" s="38" t="s">
        <v>67</v>
      </c>
      <c r="G42" s="13"/>
      <c r="H42" s="5" t="s">
        <v>69</v>
      </c>
      <c r="I42" s="5"/>
      <c r="J42" s="13"/>
      <c r="K42" s="59"/>
    </row>
    <row r="43" spans="2:12" ht="15" thickBot="1" x14ac:dyDescent="0.35">
      <c r="B43" s="1629">
        <f ca="1">TODAY()</f>
        <v>45428</v>
      </c>
      <c r="C43" s="1629"/>
      <c r="D43" s="3"/>
      <c r="E43" s="39"/>
      <c r="F43" s="1"/>
      <c r="G43" s="3"/>
      <c r="H43" s="2"/>
      <c r="I43" s="2"/>
      <c r="J43" s="3"/>
      <c r="K43" s="59"/>
    </row>
    <row r="44" spans="2:12" ht="15" thickBot="1" x14ac:dyDescent="0.35">
      <c r="B44" s="73"/>
      <c r="C44" s="20" t="s">
        <v>70</v>
      </c>
      <c r="D44" s="3"/>
      <c r="E44" s="21"/>
      <c r="F44" s="20"/>
      <c r="G44" s="20"/>
      <c r="H44" s="20"/>
      <c r="I44" s="20"/>
      <c r="J44" s="40"/>
      <c r="K44" s="55"/>
    </row>
    <row r="45" spans="2:12" ht="15" thickBot="1" x14ac:dyDescent="0.35">
      <c r="B45" s="4"/>
      <c r="C45" s="59"/>
      <c r="D45" s="59"/>
      <c r="E45" s="59"/>
      <c r="F45" s="59"/>
      <c r="G45" s="59"/>
      <c r="H45" s="59"/>
      <c r="I45" s="59"/>
      <c r="J45" s="10"/>
      <c r="K45" s="59"/>
    </row>
    <row r="46" spans="2:12" x14ac:dyDescent="0.3">
      <c r="B46" s="1631" t="s">
        <v>6</v>
      </c>
      <c r="C46" s="1632"/>
      <c r="D46" s="1633"/>
      <c r="E46" s="107" t="s">
        <v>295</v>
      </c>
      <c r="F46" s="108" t="s">
        <v>296</v>
      </c>
      <c r="G46" s="107" t="s">
        <v>296</v>
      </c>
      <c r="H46" s="107" t="s">
        <v>297</v>
      </c>
      <c r="I46" s="104" t="s">
        <v>298</v>
      </c>
      <c r="J46" s="106"/>
      <c r="K46" s="59"/>
    </row>
    <row r="47" spans="2:12" ht="15" thickBot="1" x14ac:dyDescent="0.35">
      <c r="B47" s="1610" t="s">
        <v>299</v>
      </c>
      <c r="C47" s="1634"/>
      <c r="D47" s="1611"/>
      <c r="E47" s="111" t="s">
        <v>300</v>
      </c>
      <c r="F47" s="111" t="s">
        <v>301</v>
      </c>
      <c r="G47" s="111" t="s">
        <v>302</v>
      </c>
      <c r="H47" s="111"/>
      <c r="I47" s="112" t="s">
        <v>303</v>
      </c>
      <c r="J47" s="194"/>
      <c r="K47" s="1264"/>
    </row>
    <row r="48" spans="2:12" ht="15" thickBot="1" x14ac:dyDescent="0.35">
      <c r="B48" s="1592" t="s">
        <v>400</v>
      </c>
      <c r="C48" s="1630"/>
      <c r="D48" s="1593"/>
      <c r="E48" s="195">
        <v>40</v>
      </c>
      <c r="F48" s="196">
        <v>1</v>
      </c>
      <c r="G48" s="195">
        <v>20</v>
      </c>
      <c r="H48" s="195">
        <v>3</v>
      </c>
      <c r="I48" s="1592">
        <f>ROUND($F$11/L48,3)</f>
        <v>10.590999999999999</v>
      </c>
      <c r="J48" s="1593"/>
      <c r="K48" s="1264"/>
      <c r="L48" s="380">
        <v>98.72</v>
      </c>
    </row>
    <row r="49" spans="2:13" x14ac:dyDescent="0.3">
      <c r="K49" s="1264"/>
      <c r="L49" s="380"/>
      <c r="M49" s="43"/>
    </row>
    <row r="55" spans="2:13" ht="15" thickBot="1" x14ac:dyDescent="0.35">
      <c r="B55" s="183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83"/>
      <c r="F56" s="948" t="s">
        <v>1008</v>
      </c>
      <c r="G56" s="1722" t="s">
        <v>368</v>
      </c>
      <c r="H56" s="1723"/>
      <c r="I56" s="1724"/>
      <c r="J56" s="967" t="s">
        <v>862</v>
      </c>
    </row>
    <row r="57" spans="2:13" ht="15" thickBot="1" x14ac:dyDescent="0.35">
      <c r="B57" s="943" t="s">
        <v>861</v>
      </c>
      <c r="C57" s="944" t="s">
        <v>851</v>
      </c>
      <c r="D57" s="944" t="s">
        <v>852</v>
      </c>
      <c r="E57" s="2" t="s">
        <v>8</v>
      </c>
      <c r="F57" s="945" t="s">
        <v>858</v>
      </c>
      <c r="G57" s="940" t="s">
        <v>1014</v>
      </c>
      <c r="H57" s="941" t="s">
        <v>1015</v>
      </c>
      <c r="I57" s="966" t="s">
        <v>1016</v>
      </c>
      <c r="J57" s="968" t="s">
        <v>1017</v>
      </c>
      <c r="K57" s="183"/>
    </row>
    <row r="58" spans="2:13" x14ac:dyDescent="0.3">
      <c r="B58" s="136" t="s">
        <v>359</v>
      </c>
      <c r="C58" s="44">
        <v>1240</v>
      </c>
      <c r="D58" s="44">
        <v>890</v>
      </c>
      <c r="E58" s="44">
        <v>105</v>
      </c>
      <c r="F58" s="942">
        <v>224</v>
      </c>
      <c r="G58" s="942">
        <v>530</v>
      </c>
      <c r="H58" s="942">
        <v>782</v>
      </c>
      <c r="I58" s="942">
        <v>813.3</v>
      </c>
      <c r="J58" s="692">
        <v>1</v>
      </c>
      <c r="K58" s="183"/>
    </row>
    <row r="59" spans="2:13" x14ac:dyDescent="0.3">
      <c r="B59" s="183" t="s">
        <v>853</v>
      </c>
      <c r="C59" s="44">
        <v>1660</v>
      </c>
      <c r="D59" s="44">
        <v>1230</v>
      </c>
      <c r="E59" s="44">
        <v>105</v>
      </c>
      <c r="F59" s="942">
        <v>340</v>
      </c>
      <c r="G59" s="949">
        <v>740</v>
      </c>
      <c r="H59" s="942">
        <v>1076</v>
      </c>
      <c r="I59" s="942">
        <v>1120</v>
      </c>
      <c r="J59">
        <v>1</v>
      </c>
      <c r="K59" s="692"/>
    </row>
    <row r="60" spans="2:13" x14ac:dyDescent="0.3">
      <c r="B60" s="183" t="s">
        <v>854</v>
      </c>
      <c r="C60" s="44">
        <v>1365</v>
      </c>
      <c r="D60" s="44">
        <v>1040</v>
      </c>
      <c r="E60" s="44">
        <v>105</v>
      </c>
      <c r="F60" s="942">
        <v>260</v>
      </c>
      <c r="G60" s="942">
        <v>550</v>
      </c>
      <c r="H60" s="942">
        <v>802</v>
      </c>
      <c r="I60" s="942">
        <v>834</v>
      </c>
      <c r="J60">
        <v>1</v>
      </c>
    </row>
    <row r="61" spans="2:13" x14ac:dyDescent="0.3">
      <c r="B61" s="183" t="s">
        <v>855</v>
      </c>
      <c r="C61" s="168">
        <v>1550</v>
      </c>
      <c r="D61" s="44">
        <v>1180</v>
      </c>
      <c r="E61" s="44">
        <v>105</v>
      </c>
      <c r="F61" s="44">
        <v>340</v>
      </c>
      <c r="G61" s="942">
        <v>730</v>
      </c>
      <c r="H61" s="942">
        <v>1045.5</v>
      </c>
      <c r="I61" s="942">
        <v>1087.4000000000001</v>
      </c>
      <c r="J61">
        <v>1</v>
      </c>
    </row>
    <row r="62" spans="2:13" x14ac:dyDescent="0.3">
      <c r="B62" s="183" t="s">
        <v>857</v>
      </c>
      <c r="C62" s="168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83" t="s">
        <v>1009</v>
      </c>
      <c r="C63" s="947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83" t="s">
        <v>1010</v>
      </c>
      <c r="C64" s="947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83"/>
    </row>
    <row r="66" spans="2:3" x14ac:dyDescent="0.3">
      <c r="B66" s="609"/>
    </row>
    <row r="67" spans="2:3" x14ac:dyDescent="0.3">
      <c r="B67" s="183" t="s">
        <v>856</v>
      </c>
      <c r="C67" s="59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W82"/>
  <sheetViews>
    <sheetView zoomScale="85" zoomScaleNormal="85" workbookViewId="0">
      <selection activeCell="L22" sqref="L22:Q2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6" max="16" width="11.109375" customWidth="1"/>
    <col min="17" max="17" width="11.21875" style="43" customWidth="1"/>
    <col min="20" max="20" width="10.33203125" customWidth="1"/>
  </cols>
  <sheetData>
    <row r="1" spans="2:21" ht="15" thickBot="1" x14ac:dyDescent="0.35">
      <c r="J1" t="s">
        <v>1172</v>
      </c>
      <c r="N1" s="60"/>
    </row>
    <row r="2" spans="2:21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1097</v>
      </c>
      <c r="K2" s="43"/>
      <c r="L2" s="174" t="s">
        <v>758</v>
      </c>
      <c r="M2" s="403"/>
      <c r="N2" s="406"/>
      <c r="O2" s="44"/>
      <c r="P2" s="44"/>
      <c r="Q2" s="44"/>
      <c r="R2" s="60"/>
      <c r="S2" s="60"/>
      <c r="T2" s="60"/>
      <c r="U2" s="60"/>
    </row>
    <row r="3" spans="2:21" ht="15.6" x14ac:dyDescent="0.3">
      <c r="B3" s="12" t="s">
        <v>2</v>
      </c>
      <c r="C3" s="59"/>
      <c r="D3" s="5"/>
      <c r="E3" s="5"/>
      <c r="F3" s="1113" t="s">
        <v>1155</v>
      </c>
      <c r="G3" s="1114"/>
      <c r="H3" s="1115"/>
      <c r="I3" s="1116" t="s">
        <v>756</v>
      </c>
      <c r="J3" s="1117">
        <v>134</v>
      </c>
      <c r="K3" s="43"/>
      <c r="L3" s="42" t="s">
        <v>76</v>
      </c>
      <c r="M3" s="404">
        <f>VLOOKUP(J3,B62:W74,5)</f>
        <v>355</v>
      </c>
      <c r="N3" s="60"/>
      <c r="O3" s="43"/>
      <c r="R3" s="60"/>
      <c r="S3" s="60"/>
      <c r="T3" s="60"/>
      <c r="U3" s="60"/>
    </row>
    <row r="4" spans="2:21" ht="15.6" x14ac:dyDescent="0.3">
      <c r="B4" s="4" t="s">
        <v>4</v>
      </c>
      <c r="C4" s="59"/>
      <c r="D4" s="55"/>
      <c r="E4" s="55"/>
      <c r="F4" s="1118" t="s">
        <v>1156</v>
      </c>
      <c r="G4" s="1115"/>
      <c r="H4" s="1115"/>
      <c r="I4" s="1115"/>
      <c r="J4" s="1119"/>
      <c r="K4" s="43"/>
      <c r="L4" s="47" t="s">
        <v>77</v>
      </c>
      <c r="M4" s="404">
        <f>VLOOKUP(J3,B62:W74,6)</f>
        <v>380</v>
      </c>
      <c r="N4" s="60"/>
      <c r="O4" s="43"/>
      <c r="R4" s="60"/>
      <c r="S4" s="407"/>
      <c r="T4" s="60"/>
      <c r="U4" s="60"/>
    </row>
    <row r="5" spans="2:21" ht="15.6" x14ac:dyDescent="0.3">
      <c r="B5" s="4" t="s">
        <v>6</v>
      </c>
      <c r="C5" s="59"/>
      <c r="D5" s="55"/>
      <c r="E5" s="55"/>
      <c r="F5" s="1120" t="s">
        <v>1140</v>
      </c>
      <c r="G5" s="1115"/>
      <c r="H5" s="1115"/>
      <c r="I5" s="1115"/>
      <c r="J5" s="1119"/>
      <c r="K5" s="43"/>
      <c r="L5" s="42" t="s">
        <v>74</v>
      </c>
      <c r="M5" s="404">
        <f>VLOOKUP(J3,B62:W74,8)</f>
        <v>83</v>
      </c>
      <c r="N5" s="60"/>
      <c r="O5" s="43"/>
      <c r="R5" s="60"/>
      <c r="S5" s="414"/>
      <c r="T5" s="60"/>
      <c r="U5" s="60"/>
    </row>
    <row r="6" spans="2:21" ht="16.2" thickBot="1" x14ac:dyDescent="0.35">
      <c r="B6" s="19" t="s">
        <v>10</v>
      </c>
      <c r="C6" s="65"/>
      <c r="D6" s="20"/>
      <c r="E6" s="20"/>
      <c r="F6" s="1121">
        <v>4</v>
      </c>
      <c r="G6" s="349"/>
      <c r="H6" s="349"/>
      <c r="I6" s="349"/>
      <c r="J6" s="1122"/>
      <c r="K6" s="43"/>
      <c r="L6" s="47" t="s">
        <v>75</v>
      </c>
      <c r="M6" s="404">
        <f>VLOOKUP(J3,B62:W74,9)</f>
        <v>170</v>
      </c>
      <c r="N6" s="60"/>
      <c r="O6" s="43"/>
      <c r="R6" s="60"/>
      <c r="S6" s="407"/>
      <c r="T6" s="60"/>
      <c r="U6" s="60"/>
    </row>
    <row r="7" spans="2:21" ht="15.6" x14ac:dyDescent="0.3">
      <c r="B7" s="12" t="s">
        <v>16</v>
      </c>
      <c r="C7" s="5"/>
      <c r="D7" s="5"/>
      <c r="E7" s="5"/>
      <c r="F7" s="409" t="s">
        <v>28</v>
      </c>
      <c r="G7" s="5"/>
      <c r="H7" s="71"/>
      <c r="I7" s="5" t="s">
        <v>17</v>
      </c>
      <c r="J7" s="185">
        <f ca="1">F8/F9</f>
        <v>0.35763097949886102</v>
      </c>
      <c r="K7" s="43"/>
      <c r="L7" s="42" t="s">
        <v>81</v>
      </c>
      <c r="M7" s="404">
        <f>VLOOKUP(J3,B62:W74,10)</f>
        <v>190</v>
      </c>
      <c r="N7" s="60"/>
      <c r="O7" s="43"/>
      <c r="R7" s="60"/>
      <c r="S7" s="414"/>
      <c r="T7" s="60"/>
      <c r="U7" s="60"/>
    </row>
    <row r="8" spans="2:21" ht="15.6" x14ac:dyDescent="0.3">
      <c r="B8" s="4" t="s">
        <v>19</v>
      </c>
      <c r="C8" s="55"/>
      <c r="D8" s="55"/>
      <c r="E8" s="55"/>
      <c r="F8" s="16">
        <f>M17</f>
        <v>157</v>
      </c>
      <c r="G8" s="55"/>
      <c r="H8" s="59"/>
      <c r="I8" s="55" t="s">
        <v>23</v>
      </c>
      <c r="J8" s="15">
        <f ca="1">F8/F12</f>
        <v>0.2205056179775281</v>
      </c>
      <c r="K8" s="43"/>
      <c r="L8" s="42" t="s">
        <v>1080</v>
      </c>
      <c r="M8" s="1126">
        <f>VLOOKUP(J3,B62:W74,16)</f>
        <v>202.5</v>
      </c>
      <c r="N8" s="60"/>
      <c r="O8" s="43"/>
      <c r="R8" s="60"/>
      <c r="S8" s="407"/>
      <c r="T8" s="60"/>
      <c r="U8" s="60"/>
    </row>
    <row r="9" spans="2:21" ht="15.6" x14ac:dyDescent="0.3">
      <c r="B9" s="4" t="s">
        <v>22</v>
      </c>
      <c r="C9" s="55"/>
      <c r="D9" s="55"/>
      <c r="E9" s="55"/>
      <c r="F9" s="75">
        <f ca="1">IF(F9&lt;100,ROUND(VLOOKUP(J3,B62:V74,18)/7.5*M15,1),ROUNDUP(VLOOKUP(J3,B62:V74,18)/7.5*M15,0))</f>
        <v>439</v>
      </c>
      <c r="G9" s="55"/>
      <c r="H9" s="55"/>
      <c r="I9" s="55"/>
      <c r="J9" s="18"/>
      <c r="K9" s="43"/>
      <c r="L9" s="42" t="s">
        <v>771</v>
      </c>
      <c r="M9" s="404">
        <f>VLOOKUP(J3,B62:W74,4)</f>
        <v>1060</v>
      </c>
      <c r="N9" s="60"/>
      <c r="O9" s="43"/>
      <c r="P9" s="43"/>
      <c r="R9" s="60"/>
      <c r="S9" s="407"/>
      <c r="T9" s="60"/>
      <c r="U9" s="60"/>
    </row>
    <row r="10" spans="2:21" ht="15.6" x14ac:dyDescent="0.3">
      <c r="B10" s="4" t="s">
        <v>24</v>
      </c>
      <c r="C10" s="55"/>
      <c r="D10" s="55"/>
      <c r="E10" s="55"/>
      <c r="F10" s="75">
        <f ca="1">IF(F10&lt;100,ROUND(VLOOKUP(J3,B62:V74,19)/7.5*M15,1),ROUNDUP(VLOOKUP(J3,B62:V74,19)/7.5*M15,0))</f>
        <v>247</v>
      </c>
      <c r="G10" s="55"/>
      <c r="H10" s="55"/>
      <c r="I10" s="55"/>
      <c r="J10" s="18"/>
      <c r="K10" s="43"/>
      <c r="L10" s="174" t="s">
        <v>79</v>
      </c>
      <c r="M10" s="404"/>
      <c r="N10" s="60"/>
      <c r="O10" s="43"/>
      <c r="P10" s="43"/>
      <c r="R10" s="60"/>
      <c r="S10" s="415"/>
      <c r="T10" s="60"/>
      <c r="U10" s="60"/>
    </row>
    <row r="11" spans="2:21" ht="15.6" x14ac:dyDescent="0.3">
      <c r="B11" s="4" t="s">
        <v>27</v>
      </c>
      <c r="C11" s="55"/>
      <c r="D11" s="55"/>
      <c r="E11" s="55"/>
      <c r="F11" s="75">
        <f ca="1">IF(F11&lt;100,ROUND(VLOOKUP(J3,B62:V74,20)/7.5*M15,1),ROUNDUP(VLOOKUP(J3,B62:V74,20)/7.5*M15,0))</f>
        <v>685</v>
      </c>
      <c r="G11" s="55"/>
      <c r="H11" s="55"/>
      <c r="I11" s="55"/>
      <c r="J11" s="18"/>
      <c r="K11" s="43"/>
      <c r="L11" s="42" t="s">
        <v>772</v>
      </c>
      <c r="M11" s="404">
        <f>VLOOKUP(J3,B62:W74,11)</f>
        <v>180</v>
      </c>
      <c r="N11" s="60"/>
      <c r="O11" s="43"/>
      <c r="P11" s="43"/>
      <c r="R11" s="60"/>
      <c r="S11" s="407"/>
      <c r="T11" s="60"/>
      <c r="U11" s="60"/>
    </row>
    <row r="12" spans="2:21" ht="15.6" x14ac:dyDescent="0.3">
      <c r="B12" s="4" t="s">
        <v>32</v>
      </c>
      <c r="C12" s="55"/>
      <c r="D12" s="55"/>
      <c r="E12" s="55"/>
      <c r="F12" s="75">
        <f ca="1">ROUND(F11*1.04,0)</f>
        <v>712</v>
      </c>
      <c r="G12" s="55"/>
      <c r="H12" s="55"/>
      <c r="I12" s="55"/>
      <c r="J12" s="18"/>
      <c r="K12" s="43"/>
      <c r="L12" s="42" t="s">
        <v>773</v>
      </c>
      <c r="M12" s="404">
        <f>VLOOKUP(J3,B62:W74,12)</f>
        <v>260</v>
      </c>
      <c r="N12" s="60"/>
      <c r="O12" s="43"/>
      <c r="P12" s="43"/>
      <c r="R12" s="60"/>
      <c r="S12" s="407"/>
      <c r="T12" s="60"/>
      <c r="U12" s="60"/>
    </row>
    <row r="13" spans="2:21" ht="16.2" thickBot="1" x14ac:dyDescent="0.35">
      <c r="B13" s="19"/>
      <c r="C13" s="20"/>
      <c r="D13" s="410"/>
      <c r="E13" s="411"/>
      <c r="F13" s="412"/>
      <c r="G13" s="20"/>
      <c r="H13" s="20"/>
      <c r="I13" s="167"/>
      <c r="J13" s="72"/>
      <c r="K13" s="43"/>
      <c r="L13" s="42" t="s">
        <v>82</v>
      </c>
      <c r="M13" s="404">
        <f>VLOOKUP(J3,B62:W74,7)</f>
        <v>450</v>
      </c>
      <c r="N13" s="60"/>
      <c r="O13" s="43"/>
      <c r="P13" s="43"/>
      <c r="R13" s="60"/>
      <c r="S13" s="407"/>
      <c r="T13" s="60"/>
      <c r="U13" s="60"/>
    </row>
    <row r="14" spans="2:21" ht="15.6" x14ac:dyDescent="0.3">
      <c r="B14" s="12"/>
      <c r="C14" s="5"/>
      <c r="D14" s="5"/>
      <c r="E14" s="5"/>
      <c r="F14" s="5"/>
      <c r="G14" s="5"/>
      <c r="H14" s="71"/>
      <c r="I14" s="71"/>
      <c r="J14" s="13"/>
      <c r="K14" s="43"/>
      <c r="L14" s="42" t="s">
        <v>83</v>
      </c>
      <c r="M14" s="404">
        <f>VLOOKUP(J3,B62:W74,3)</f>
        <v>390</v>
      </c>
      <c r="N14" s="60"/>
      <c r="O14" s="43"/>
      <c r="P14" s="43"/>
      <c r="R14" s="60"/>
      <c r="S14" s="407"/>
      <c r="T14" s="60"/>
      <c r="U14" s="60"/>
    </row>
    <row r="15" spans="2:21" ht="15.6" x14ac:dyDescent="0.3">
      <c r="B15" s="4"/>
      <c r="C15" s="55"/>
      <c r="D15" s="55"/>
      <c r="E15" s="55"/>
      <c r="F15" s="55"/>
      <c r="G15" s="55"/>
      <c r="H15" s="1725" t="s">
        <v>774</v>
      </c>
      <c r="I15" s="1725"/>
      <c r="J15" s="1726"/>
      <c r="K15" s="43"/>
      <c r="L15" s="176" t="s">
        <v>12</v>
      </c>
      <c r="M15" s="405">
        <f>VLOOKUP(F7,Данные!A3:I27,9,FALSE())</f>
        <v>7.5</v>
      </c>
      <c r="N15" s="60"/>
      <c r="O15" s="43"/>
      <c r="P15" s="43"/>
      <c r="R15" s="60"/>
      <c r="S15" s="60"/>
      <c r="T15" s="60"/>
      <c r="U15" s="60"/>
    </row>
    <row r="16" spans="2:21" ht="15.6" x14ac:dyDescent="0.3">
      <c r="B16" s="4"/>
      <c r="C16" s="55"/>
      <c r="D16" s="55"/>
      <c r="E16" s="55"/>
      <c r="F16" s="55"/>
      <c r="G16" s="55"/>
      <c r="H16" s="469"/>
      <c r="I16" s="470" t="s">
        <v>775</v>
      </c>
      <c r="J16" s="471" t="s">
        <v>776</v>
      </c>
      <c r="K16" s="43"/>
      <c r="L16" s="50"/>
      <c r="M16" s="50"/>
      <c r="N16" s="60"/>
      <c r="O16" s="43"/>
      <c r="P16" s="43"/>
      <c r="R16" s="60"/>
      <c r="S16" s="60"/>
      <c r="T16" s="60"/>
      <c r="U16" s="60"/>
    </row>
    <row r="17" spans="2:21" ht="15.6" x14ac:dyDescent="0.3">
      <c r="B17" s="4"/>
      <c r="C17" s="55"/>
      <c r="D17" s="55"/>
      <c r="E17" s="55"/>
      <c r="F17" s="55"/>
      <c r="G17" s="55"/>
      <c r="H17" s="58" t="s">
        <v>461</v>
      </c>
      <c r="I17" s="413">
        <f t="shared" ref="I17" si="0">M3</f>
        <v>355</v>
      </c>
      <c r="J17" s="416">
        <f>ROUND(I17*0.985,0)</f>
        <v>350</v>
      </c>
      <c r="K17" s="43"/>
      <c r="L17" s="133" t="s">
        <v>309</v>
      </c>
      <c r="M17" s="51">
        <v>157</v>
      </c>
      <c r="N17" s="59"/>
      <c r="O17" s="43"/>
      <c r="P17" s="43"/>
      <c r="R17" s="60"/>
      <c r="S17" s="60"/>
      <c r="T17" s="60"/>
      <c r="U17" s="60"/>
    </row>
    <row r="18" spans="2:21" ht="15.6" x14ac:dyDescent="0.3">
      <c r="B18" s="4"/>
      <c r="C18" s="55"/>
      <c r="D18" s="55"/>
      <c r="E18" s="55"/>
      <c r="F18" s="55"/>
      <c r="G18" s="55"/>
      <c r="H18" s="58" t="s">
        <v>764</v>
      </c>
      <c r="I18" s="413">
        <f>M5</f>
        <v>83</v>
      </c>
      <c r="J18" s="416">
        <f>ROUND(I18*0.985,0)</f>
        <v>82</v>
      </c>
      <c r="K18" s="43"/>
      <c r="L18" s="402"/>
      <c r="M18" s="402"/>
      <c r="N18" s="43"/>
      <c r="O18" s="43"/>
      <c r="P18" s="43"/>
    </row>
    <row r="19" spans="2:21" ht="15.6" x14ac:dyDescent="0.3">
      <c r="B19" s="4"/>
      <c r="C19" s="55"/>
      <c r="D19" s="55"/>
      <c r="E19" s="55"/>
      <c r="F19" s="55"/>
      <c r="G19" s="55"/>
      <c r="H19" s="58" t="s">
        <v>1079</v>
      </c>
      <c r="I19" s="1127">
        <f>M8</f>
        <v>202.5</v>
      </c>
      <c r="J19" s="416">
        <f>ROUND(I19*0.985,0)</f>
        <v>199</v>
      </c>
      <c r="K19" s="43"/>
      <c r="L19" s="78" t="s">
        <v>275</v>
      </c>
      <c r="M19" s="62"/>
      <c r="N19" s="43"/>
      <c r="O19" s="43"/>
      <c r="P19" s="43"/>
    </row>
    <row r="20" spans="2:21" ht="15.6" x14ac:dyDescent="0.3">
      <c r="B20" s="4"/>
      <c r="C20" s="55"/>
      <c r="D20" s="55"/>
      <c r="E20" s="55"/>
      <c r="F20" s="55"/>
      <c r="G20" s="55"/>
      <c r="H20" s="58" t="s">
        <v>188</v>
      </c>
      <c r="I20" s="413">
        <f>M9</f>
        <v>1060</v>
      </c>
      <c r="J20" s="416">
        <f>ROUND(I20*0.985,0)</f>
        <v>1044</v>
      </c>
      <c r="K20" s="43"/>
      <c r="L20" s="407"/>
      <c r="M20" s="408"/>
      <c r="N20" s="43"/>
      <c r="O20" s="43"/>
      <c r="P20" s="43"/>
    </row>
    <row r="21" spans="2:21" ht="15.6" x14ac:dyDescent="0.3">
      <c r="B21" s="4"/>
      <c r="C21" s="55"/>
      <c r="D21" s="31"/>
      <c r="E21" s="32"/>
      <c r="F21" s="55"/>
      <c r="G21" s="55"/>
      <c r="H21" s="470" t="s">
        <v>777</v>
      </c>
      <c r="I21" s="470"/>
      <c r="J21" s="472"/>
      <c r="K21" s="43"/>
      <c r="L21" s="408"/>
      <c r="M21" s="408"/>
      <c r="N21" s="43"/>
      <c r="O21" s="43"/>
      <c r="P21" s="43"/>
    </row>
    <row r="22" spans="2:21" ht="15.6" x14ac:dyDescent="0.3">
      <c r="B22" s="4"/>
      <c r="C22" s="55"/>
      <c r="D22" s="59"/>
      <c r="E22" s="55"/>
      <c r="F22" s="55"/>
      <c r="G22" s="55"/>
      <c r="H22" s="58" t="s">
        <v>767</v>
      </c>
      <c r="I22" s="413">
        <f>M12</f>
        <v>260</v>
      </c>
      <c r="J22" s="416">
        <f>ROUND(I22*0.985,0)</f>
        <v>256</v>
      </c>
      <c r="K22" s="43"/>
      <c r="L22" s="1727" t="s">
        <v>341</v>
      </c>
      <c r="M22" s="1727"/>
      <c r="N22" s="1727"/>
      <c r="O22" s="1727"/>
      <c r="P22" s="1727"/>
      <c r="Q22" s="1123"/>
    </row>
    <row r="23" spans="2:21" ht="15.6" x14ac:dyDescent="0.3">
      <c r="B23" s="4"/>
      <c r="C23" s="33"/>
      <c r="D23" s="59"/>
      <c r="E23" s="34"/>
      <c r="F23" s="55"/>
      <c r="G23" s="55"/>
      <c r="H23" s="58" t="s">
        <v>763</v>
      </c>
      <c r="I23" s="413">
        <f>M13</f>
        <v>450</v>
      </c>
      <c r="J23" s="416">
        <f>ROUND(I23*0.985,0)</f>
        <v>443</v>
      </c>
      <c r="K23" s="43"/>
      <c r="L23" s="1728" t="s">
        <v>348</v>
      </c>
      <c r="M23" s="1728"/>
      <c r="N23" s="1728"/>
      <c r="O23" s="1728"/>
      <c r="P23" s="1728"/>
      <c r="Q23" s="1124"/>
    </row>
    <row r="24" spans="2:21" ht="15.6" x14ac:dyDescent="0.3">
      <c r="B24" s="4"/>
      <c r="C24" s="59"/>
      <c r="D24" s="55"/>
      <c r="E24" s="26"/>
      <c r="F24" s="31"/>
      <c r="G24" s="55"/>
      <c r="H24" s="58" t="s">
        <v>762</v>
      </c>
      <c r="I24" s="413">
        <f>M14</f>
        <v>390</v>
      </c>
      <c r="J24" s="416">
        <f>ROUND(I24*0.985,0)</f>
        <v>384</v>
      </c>
      <c r="K24" s="43"/>
      <c r="L24" s="1729" t="s">
        <v>349</v>
      </c>
      <c r="M24" s="1729"/>
      <c r="N24" s="1729"/>
      <c r="O24" s="1729"/>
      <c r="P24" s="1729"/>
      <c r="Q24" s="1125"/>
    </row>
    <row r="25" spans="2:21" x14ac:dyDescent="0.3">
      <c r="B25" s="4"/>
      <c r="C25" s="59"/>
      <c r="D25" s="55"/>
      <c r="E25" s="26"/>
      <c r="F25" s="31"/>
      <c r="G25" s="55"/>
      <c r="H25" s="59"/>
      <c r="I25" s="59"/>
      <c r="J25" s="10"/>
      <c r="K25" s="43"/>
      <c r="N25" s="43"/>
      <c r="O25" s="43"/>
      <c r="P25" s="43"/>
    </row>
    <row r="26" spans="2:21" x14ac:dyDescent="0.3">
      <c r="B26" s="4"/>
      <c r="C26" s="55"/>
      <c r="D26" s="55"/>
      <c r="E26" s="55"/>
      <c r="F26" s="55"/>
      <c r="G26" s="55"/>
      <c r="H26" s="59"/>
      <c r="I26" s="59"/>
      <c r="J26" s="10"/>
      <c r="K26" s="43"/>
      <c r="N26" s="136"/>
      <c r="O26" s="136"/>
      <c r="P26" s="136"/>
      <c r="Q26" s="136"/>
    </row>
    <row r="27" spans="2:21" x14ac:dyDescent="0.3">
      <c r="B27" s="4"/>
      <c r="C27" s="55"/>
      <c r="D27" s="55"/>
      <c r="E27" s="55"/>
      <c r="F27" s="55"/>
      <c r="G27" s="55"/>
      <c r="H27" s="59"/>
      <c r="I27" s="59"/>
      <c r="J27" s="10"/>
      <c r="K27" s="43"/>
      <c r="N27" s="43"/>
      <c r="O27" s="43"/>
      <c r="P27" s="43"/>
    </row>
    <row r="28" spans="2:21" x14ac:dyDescent="0.3">
      <c r="B28" s="4"/>
      <c r="C28" s="55"/>
      <c r="D28" s="55"/>
      <c r="E28" s="55"/>
      <c r="F28" s="55"/>
      <c r="G28" s="55"/>
      <c r="H28" s="55"/>
      <c r="I28" s="26"/>
      <c r="J28" s="27"/>
      <c r="K28" s="43"/>
      <c r="L28" s="43"/>
      <c r="M28" s="43"/>
      <c r="N28" s="43"/>
      <c r="O28" s="43"/>
      <c r="P28" s="43"/>
    </row>
    <row r="29" spans="2:21" x14ac:dyDescent="0.3">
      <c r="B29" s="4"/>
      <c r="C29" s="55"/>
      <c r="D29" s="55"/>
      <c r="E29" s="55"/>
      <c r="F29" s="55"/>
      <c r="G29" s="55"/>
      <c r="H29" s="55"/>
      <c r="I29" s="23"/>
      <c r="J29" s="24"/>
      <c r="K29" s="43"/>
    </row>
    <row r="30" spans="2:21" x14ac:dyDescent="0.3">
      <c r="B30" s="4"/>
      <c r="C30" s="55"/>
      <c r="D30" s="55"/>
      <c r="E30" s="55"/>
      <c r="F30" s="55"/>
      <c r="G30" s="55"/>
      <c r="H30" s="122"/>
      <c r="I30" s="23"/>
      <c r="J30" s="24"/>
      <c r="K30" s="43"/>
    </row>
    <row r="31" spans="2:21" x14ac:dyDescent="0.3">
      <c r="B31" s="4"/>
      <c r="C31" s="55"/>
      <c r="D31" s="55"/>
      <c r="E31" s="59"/>
      <c r="F31" s="55"/>
      <c r="G31" s="55"/>
      <c r="H31" s="55"/>
      <c r="I31" s="23"/>
      <c r="J31" s="24"/>
      <c r="K31" s="43"/>
    </row>
    <row r="32" spans="2:21" x14ac:dyDescent="0.3">
      <c r="B32" s="4"/>
      <c r="C32" s="348"/>
      <c r="D32" s="55"/>
      <c r="E32" s="55"/>
      <c r="F32" s="55"/>
      <c r="G32" s="55"/>
      <c r="H32" s="55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77" t="str">
        <f>IF(B77=TRUE,"* Использовать холодильники","")</f>
        <v>* Использовать холодильники</v>
      </c>
      <c r="D33" s="55"/>
      <c r="E33" s="55"/>
      <c r="F33" s="55"/>
      <c r="G33" s="59"/>
      <c r="H33" s="55"/>
      <c r="I33" s="55"/>
      <c r="J33" s="24"/>
      <c r="K33" s="43"/>
      <c r="L33" s="407"/>
      <c r="M33" s="408"/>
      <c r="N33" s="60"/>
      <c r="O33" s="43"/>
      <c r="P33" s="43"/>
    </row>
    <row r="34" spans="2:16" ht="16.2" thickBot="1" x14ac:dyDescent="0.35">
      <c r="B34" s="19"/>
      <c r="C34" s="65"/>
      <c r="D34" s="20"/>
      <c r="E34" s="349"/>
      <c r="F34" s="20"/>
      <c r="G34" s="65"/>
      <c r="H34" s="20"/>
      <c r="I34" s="20"/>
      <c r="J34" s="72"/>
      <c r="K34" s="43"/>
      <c r="L34" s="43"/>
      <c r="M34" s="43"/>
      <c r="N34" s="43"/>
      <c r="O34" s="43"/>
      <c r="P34" s="43"/>
    </row>
    <row r="35" spans="2:16" x14ac:dyDescent="0.3">
      <c r="B35" s="4"/>
      <c r="C35" s="55" t="s">
        <v>263</v>
      </c>
      <c r="D35" s="55"/>
      <c r="E35" s="55"/>
      <c r="F35" s="53" t="s">
        <v>53</v>
      </c>
      <c r="G35" s="55"/>
      <c r="H35" s="55"/>
      <c r="I35" s="55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5" t="s">
        <v>59</v>
      </c>
      <c r="D36" s="55"/>
      <c r="E36" s="55"/>
      <c r="F36" s="52" t="s">
        <v>90</v>
      </c>
      <c r="G36" s="55"/>
      <c r="H36" s="55"/>
      <c r="I36" s="55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5" t="s">
        <v>54</v>
      </c>
      <c r="D37" s="55"/>
      <c r="E37" s="55"/>
      <c r="F37" s="53" t="s">
        <v>55</v>
      </c>
      <c r="G37" s="55"/>
      <c r="H37" s="55"/>
      <c r="I37" s="55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5" t="s">
        <v>926</v>
      </c>
      <c r="D38" s="55"/>
      <c r="E38" s="55"/>
      <c r="F38" s="468" t="str">
        <f>C77</f>
        <v>1080-1100</v>
      </c>
      <c r="G38" s="17" t="s">
        <v>91</v>
      </c>
      <c r="H38" s="55"/>
      <c r="I38" s="55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431</v>
      </c>
      <c r="D39" s="43"/>
      <c r="E39" s="43"/>
      <c r="F39" s="44" t="s">
        <v>432</v>
      </c>
      <c r="G39" s="55"/>
      <c r="H39" s="55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5" t="s">
        <v>49</v>
      </c>
      <c r="D40" s="55"/>
      <c r="E40" s="55"/>
      <c r="F40" s="53" t="str">
        <f>VLOOKUP(F7,Данные!A3:I27,6,FALSE())</f>
        <v>25010.00176</v>
      </c>
      <c r="G40" s="55"/>
      <c r="H40" s="55"/>
      <c r="I40" s="55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5" t="s">
        <v>51</v>
      </c>
      <c r="D41" s="55"/>
      <c r="E41" s="55"/>
      <c r="F41" s="53" t="s">
        <v>92</v>
      </c>
      <c r="G41" s="55"/>
      <c r="H41" s="55"/>
      <c r="I41" s="55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5" t="s">
        <v>93</v>
      </c>
      <c r="D42" s="55"/>
      <c r="E42" s="17"/>
      <c r="F42" s="44" t="s">
        <v>57</v>
      </c>
      <c r="G42" s="55"/>
      <c r="H42" s="55"/>
      <c r="I42" s="55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5" t="s">
        <v>65</v>
      </c>
      <c r="D43" s="55"/>
      <c r="E43" s="17"/>
      <c r="F43" s="17" t="s">
        <v>66</v>
      </c>
      <c r="G43" s="55"/>
      <c r="H43" s="55"/>
      <c r="I43" s="55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67</v>
      </c>
      <c r="D44" s="13"/>
      <c r="E44" s="37" t="s">
        <v>68</v>
      </c>
      <c r="F44" s="38" t="s">
        <v>67</v>
      </c>
      <c r="G44" s="13"/>
      <c r="H44" s="5" t="s">
        <v>69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629">
        <f ca="1">TODAY()</f>
        <v>45428</v>
      </c>
      <c r="C45" s="1629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3"/>
      <c r="C46" s="20" t="s">
        <v>70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9"/>
      <c r="D47" s="59"/>
      <c r="E47" s="59"/>
      <c r="F47" s="59"/>
      <c r="G47" s="59"/>
      <c r="H47" s="59"/>
      <c r="I47" s="59"/>
      <c r="J47" s="10"/>
      <c r="K47" s="43"/>
      <c r="L47" s="43"/>
      <c r="M47" s="43"/>
      <c r="N47" s="43"/>
      <c r="O47" s="43"/>
      <c r="P47" s="43"/>
    </row>
    <row r="48" spans="2:16" x14ac:dyDescent="0.3">
      <c r="B48" s="104" t="s">
        <v>6</v>
      </c>
      <c r="C48" s="398"/>
      <c r="D48" s="399"/>
      <c r="E48" s="107" t="s">
        <v>295</v>
      </c>
      <c r="F48" s="108" t="s">
        <v>296</v>
      </c>
      <c r="G48" s="107" t="s">
        <v>296</v>
      </c>
      <c r="H48" s="107" t="s">
        <v>297</v>
      </c>
      <c r="I48" s="104" t="s">
        <v>298</v>
      </c>
      <c r="J48" s="399"/>
      <c r="K48" s="43"/>
      <c r="L48" s="43"/>
      <c r="M48" s="43"/>
      <c r="N48" s="43"/>
      <c r="O48" s="43"/>
      <c r="P48" s="43"/>
    </row>
    <row r="49" spans="1:23" ht="15" thickBot="1" x14ac:dyDescent="0.35">
      <c r="B49" s="109"/>
      <c r="C49" s="400" t="s">
        <v>299</v>
      </c>
      <c r="D49" s="401"/>
      <c r="E49" s="111" t="s">
        <v>300</v>
      </c>
      <c r="F49" s="111" t="s">
        <v>301</v>
      </c>
      <c r="G49" s="111" t="s">
        <v>302</v>
      </c>
      <c r="H49" s="111"/>
      <c r="I49" s="112" t="s">
        <v>303</v>
      </c>
      <c r="J49" s="401"/>
      <c r="K49" s="43"/>
      <c r="L49" s="136"/>
      <c r="M49" s="43"/>
      <c r="N49" s="43"/>
      <c r="O49" s="43"/>
      <c r="P49" s="43"/>
    </row>
    <row r="50" spans="1:23" ht="15" thickBot="1" x14ac:dyDescent="0.35">
      <c r="B50" s="109"/>
      <c r="C50" s="400" t="s">
        <v>400</v>
      </c>
      <c r="D50" s="400"/>
      <c r="E50" s="195">
        <v>40</v>
      </c>
      <c r="F50" s="196">
        <v>1</v>
      </c>
      <c r="G50" s="195">
        <v>20</v>
      </c>
      <c r="H50" s="195">
        <v>3</v>
      </c>
      <c r="I50" s="1592">
        <f>ROUND(700*700*(I24+I20)/1000000*2.045*2.3/1000,3)</f>
        <v>3.3420000000000001</v>
      </c>
      <c r="J50" s="1593"/>
      <c r="K50" s="43"/>
      <c r="L50" s="136"/>
      <c r="M50" s="43"/>
      <c r="N50" s="43"/>
      <c r="O50" s="43"/>
      <c r="P50" s="43"/>
    </row>
    <row r="51" spans="1:23" x14ac:dyDescent="0.3">
      <c r="K51" s="43"/>
      <c r="L51" s="136"/>
      <c r="M51" s="43"/>
      <c r="N51" s="43"/>
      <c r="O51" s="43"/>
      <c r="P51" s="43"/>
    </row>
    <row r="52" spans="1:23" x14ac:dyDescent="0.3">
      <c r="K52" s="43"/>
      <c r="L52" s="60"/>
      <c r="M52" s="136"/>
      <c r="N52" s="136"/>
      <c r="O52" s="43"/>
      <c r="P52" s="43"/>
    </row>
    <row r="53" spans="1:23" s="43" customFormat="1" x14ac:dyDescent="0.3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60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</row>
    <row r="54" spans="1:23" s="43" customFormat="1" x14ac:dyDescent="0.3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60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</row>
    <row r="55" spans="1:23" x14ac:dyDescent="0.3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</row>
    <row r="56" spans="1:23" hidden="1" x14ac:dyDescent="0.3">
      <c r="A56" s="136"/>
      <c r="B56" s="136"/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</row>
    <row r="57" spans="1:23" ht="15.6" hidden="1" customHeight="1" x14ac:dyDescent="0.3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</row>
    <row r="58" spans="1:23" hidden="1" x14ac:dyDescent="0.3">
      <c r="A58" s="136"/>
      <c r="B58" s="136" t="s">
        <v>759</v>
      </c>
      <c r="C58" s="136" t="s">
        <v>761</v>
      </c>
      <c r="D58" s="136" t="s">
        <v>762</v>
      </c>
      <c r="E58" s="136" t="s">
        <v>188</v>
      </c>
      <c r="F58" s="136" t="s">
        <v>461</v>
      </c>
      <c r="G58" s="136" t="s">
        <v>760</v>
      </c>
      <c r="H58" s="136" t="s">
        <v>763</v>
      </c>
      <c r="I58" s="136" t="s">
        <v>764</v>
      </c>
      <c r="J58" s="136" t="s">
        <v>346</v>
      </c>
      <c r="K58" s="136" t="s">
        <v>765</v>
      </c>
      <c r="L58" s="136" t="s">
        <v>766</v>
      </c>
      <c r="M58" s="136" t="s">
        <v>767</v>
      </c>
      <c r="N58" s="136" t="s">
        <v>768</v>
      </c>
      <c r="O58" s="136" t="s">
        <v>769</v>
      </c>
      <c r="P58" s="136" t="s">
        <v>770</v>
      </c>
      <c r="Q58" s="136"/>
      <c r="R58" s="136" t="s">
        <v>4</v>
      </c>
      <c r="S58" s="136"/>
      <c r="T58" s="136"/>
      <c r="U58" s="136"/>
      <c r="V58" s="136"/>
      <c r="W58" s="136"/>
    </row>
    <row r="59" spans="1:23" hidden="1" x14ac:dyDescent="0.3">
      <c r="A59" s="136"/>
      <c r="B59" s="136">
        <v>1</v>
      </c>
      <c r="C59" s="136">
        <v>2</v>
      </c>
      <c r="D59" s="136">
        <v>3</v>
      </c>
      <c r="E59" s="136">
        <v>4</v>
      </c>
      <c r="F59" s="136">
        <v>5</v>
      </c>
      <c r="G59" s="136">
        <v>6</v>
      </c>
      <c r="H59" s="136">
        <v>7</v>
      </c>
      <c r="I59" s="136">
        <v>8</v>
      </c>
      <c r="J59" s="136">
        <v>9</v>
      </c>
      <c r="K59" s="136">
        <v>10</v>
      </c>
      <c r="L59" s="136">
        <v>11</v>
      </c>
      <c r="M59" s="136">
        <v>12</v>
      </c>
      <c r="N59" s="136">
        <v>13</v>
      </c>
      <c r="O59" s="136">
        <v>14</v>
      </c>
      <c r="P59" s="136">
        <v>15</v>
      </c>
      <c r="Q59" s="136"/>
      <c r="R59" s="136">
        <v>16</v>
      </c>
      <c r="S59" s="136"/>
      <c r="T59" s="136"/>
      <c r="U59" s="136"/>
      <c r="V59" s="136"/>
      <c r="W59" s="136"/>
    </row>
    <row r="60" spans="1:23" x14ac:dyDescent="0.3">
      <c r="A60" s="1207"/>
      <c r="B60" s="1207" t="str">
        <f>[1]Сухари!B2</f>
        <v>Деревянные модели сухарей</v>
      </c>
      <c r="C60" s="1207"/>
      <c r="D60" s="1207"/>
      <c r="E60" s="1207"/>
      <c r="F60" s="1207"/>
      <c r="G60" s="1207"/>
      <c r="H60" s="1207"/>
      <c r="I60" s="1207"/>
      <c r="J60" s="1207"/>
      <c r="K60" s="1207"/>
      <c r="L60" s="1207"/>
      <c r="M60" s="1207"/>
      <c r="N60" s="1207"/>
      <c r="O60" s="1207"/>
      <c r="P60" s="1207"/>
      <c r="Q60" s="1207"/>
      <c r="R60" s="1207"/>
      <c r="S60" s="1207"/>
      <c r="T60" s="1207"/>
      <c r="U60" s="1207"/>
      <c r="V60" s="1207"/>
      <c r="W60" s="136"/>
    </row>
    <row r="61" spans="1:23" x14ac:dyDescent="0.3">
      <c r="A61" s="1207"/>
      <c r="B61" s="1207" t="str">
        <f>[1]Сухари!B3</f>
        <v>Номер модели</v>
      </c>
      <c r="C61" s="1207" t="str">
        <f>[1]Сухари!C3</f>
        <v>Высота, Н</v>
      </c>
      <c r="D61" s="1207" t="str">
        <f>[1]Сухари!D3</f>
        <v>Высота прибыли, h1</v>
      </c>
      <c r="E61" s="1207" t="str">
        <f>[1]Сухари!E3</f>
        <v>Высота модели, h2</v>
      </c>
      <c r="F61" s="1207" t="str">
        <f>[1]Сухари!F3</f>
        <v>Ширина, L1</v>
      </c>
      <c r="G61" s="1207" t="str">
        <f>[1]Сухари!G3</f>
        <v>Ширина, L2</v>
      </c>
      <c r="H61" s="1207" t="str">
        <f>[1]Сухари!H3</f>
        <v>Ширина, L3</v>
      </c>
      <c r="I61" s="1207" t="str">
        <f>[1]Сухари!I3</f>
        <v>Толщина, L4</v>
      </c>
      <c r="J61" s="1207" t="str">
        <f>[1]Сухари!J3</f>
        <v>Толщина, L5</v>
      </c>
      <c r="K61" s="1207" t="str">
        <f>[1]Сухари!K3</f>
        <v>Толщина, L6</v>
      </c>
      <c r="L61" s="1207" t="str">
        <f>[1]Сухари!L3</f>
        <v>Толщина, L7</v>
      </c>
      <c r="M61" s="1207" t="str">
        <f>[1]Сухари!M3</f>
        <v>Толщина, L8</v>
      </c>
      <c r="N61" s="1207" t="str">
        <f>[1]Сухари!N3</f>
        <v>Толщина, L9</v>
      </c>
      <c r="O61" s="1207" t="str">
        <f>[1]Сухари!O3</f>
        <v>Толщина, L10</v>
      </c>
      <c r="P61" s="1207" t="str">
        <f>[1]Сухари!P3</f>
        <v>Толщина, L11</v>
      </c>
      <c r="Q61" s="1207" t="str">
        <f>[1]Сухари!Q3</f>
        <v>Толщина, L12</v>
      </c>
      <c r="R61" s="1207" t="s">
        <v>4</v>
      </c>
      <c r="S61" s="1207"/>
      <c r="T61" s="1207"/>
      <c r="U61" s="1207"/>
      <c r="V61" s="1207"/>
      <c r="W61" s="136"/>
    </row>
    <row r="62" spans="1:23" x14ac:dyDescent="0.3">
      <c r="A62" s="1207"/>
      <c r="B62" s="1207">
        <f>[1]Сухари!B4</f>
        <v>125</v>
      </c>
      <c r="C62" s="1207">
        <f>[1]Сухари!C4</f>
        <v>890</v>
      </c>
      <c r="D62" s="1207">
        <f>[1]Сухари!D4</f>
        <v>255</v>
      </c>
      <c r="E62" s="1207">
        <f>[1]Сухари!E4</f>
        <v>635</v>
      </c>
      <c r="F62" s="1207">
        <f>[1]Сухари!F4</f>
        <v>243</v>
      </c>
      <c r="G62" s="1207">
        <f>[1]Сухари!G4</f>
        <v>260</v>
      </c>
      <c r="H62" s="1207">
        <f>[1]Сухари!H4</f>
        <v>310</v>
      </c>
      <c r="I62" s="1207">
        <f>[1]Сухари!I4</f>
        <v>30</v>
      </c>
      <c r="J62" s="1207">
        <f>[1]Сухари!J4</f>
        <v>55</v>
      </c>
      <c r="K62" s="1207">
        <f>[1]Сухари!K4</f>
        <v>63</v>
      </c>
      <c r="L62" s="1207">
        <f>[1]Сухари!L4</f>
        <v>100</v>
      </c>
      <c r="M62" s="1207">
        <f>[1]Сухари!M4</f>
        <v>160</v>
      </c>
      <c r="N62" s="1207">
        <f>[1]Сухари!N4</f>
        <v>90</v>
      </c>
      <c r="O62" s="1207">
        <f>[1]Сухари!O4</f>
        <v>220</v>
      </c>
      <c r="P62" s="1207">
        <f>[1]Сухари!P4</f>
        <v>180</v>
      </c>
      <c r="Q62" s="1207">
        <f>[1]Сухари!Q4</f>
        <v>106</v>
      </c>
      <c r="R62" s="1207" t="s">
        <v>757</v>
      </c>
      <c r="S62" s="1207">
        <f>[1]Сухари!T4</f>
        <v>110</v>
      </c>
      <c r="T62" s="1207">
        <f>[1]Сухари!U4</f>
        <v>65.650000000000006</v>
      </c>
      <c r="U62" s="1207">
        <f>[1]Сухари!V4</f>
        <v>175.65</v>
      </c>
      <c r="V62" s="1207">
        <f>[1]Сухари!W4</f>
        <v>182.67600000000002</v>
      </c>
      <c r="W62" s="136"/>
    </row>
    <row r="63" spans="1:23" x14ac:dyDescent="0.3">
      <c r="A63" s="1207"/>
      <c r="B63" s="1207">
        <f>[1]Сухари!B5</f>
        <v>126</v>
      </c>
      <c r="C63" s="1207">
        <f>[1]Сухари!C5</f>
        <v>895</v>
      </c>
      <c r="D63" s="1207">
        <f>[1]Сухари!D5</f>
        <v>250</v>
      </c>
      <c r="E63" s="1207">
        <f>[1]Сухари!E5</f>
        <v>645</v>
      </c>
      <c r="F63" s="1207">
        <f>[1]Сухари!F5</f>
        <v>245</v>
      </c>
      <c r="G63" s="1207">
        <f>[1]Сухари!G5</f>
        <v>260</v>
      </c>
      <c r="H63" s="1207">
        <f>[1]Сухари!H5</f>
        <v>310</v>
      </c>
      <c r="I63" s="1207">
        <f>[1]Сухари!I5</f>
        <v>30</v>
      </c>
      <c r="J63" s="1207">
        <f>[1]Сухари!J5</f>
        <v>60</v>
      </c>
      <c r="K63" s="1207">
        <f>[1]Сухари!K5</f>
        <v>65</v>
      </c>
      <c r="L63" s="1207">
        <f>[1]Сухари!L5</f>
        <v>100</v>
      </c>
      <c r="M63" s="1207">
        <f>[1]Сухари!M5</f>
        <v>170</v>
      </c>
      <c r="N63" s="1207">
        <f>[1]Сухари!N5</f>
        <v>90</v>
      </c>
      <c r="O63" s="1207">
        <f>[1]Сухари!O5</f>
        <v>220</v>
      </c>
      <c r="P63" s="1207">
        <f>[1]Сухари!P5</f>
        <v>180</v>
      </c>
      <c r="Q63" s="1207">
        <f>[1]Сухари!Q5</f>
        <v>110</v>
      </c>
      <c r="R63" s="1207"/>
      <c r="S63" s="1207">
        <f>[1]Сухари!T5</f>
        <v>110</v>
      </c>
      <c r="T63" s="1207">
        <f>[1]Сухари!U5</f>
        <v>65.650000000000006</v>
      </c>
      <c r="U63" s="1207">
        <f>[1]Сухари!V5</f>
        <v>175.65</v>
      </c>
      <c r="V63" s="1207">
        <f>[1]Сухари!W5</f>
        <v>182.67600000000002</v>
      </c>
      <c r="W63" s="136"/>
    </row>
    <row r="64" spans="1:23" x14ac:dyDescent="0.3">
      <c r="A64" s="1207"/>
      <c r="B64" s="1207">
        <f>[1]Сухари!B6</f>
        <v>127</v>
      </c>
      <c r="C64" s="1207">
        <f>[1]Сухари!C6</f>
        <v>1840</v>
      </c>
      <c r="D64" s="1207">
        <f>[1]Сухари!D6</f>
        <v>510</v>
      </c>
      <c r="E64" s="1207">
        <f>[1]Сухари!E6</f>
        <v>1330</v>
      </c>
      <c r="F64" s="1207">
        <f>[1]Сухари!F6</f>
        <v>440</v>
      </c>
      <c r="G64" s="1207">
        <f>[1]Сухари!G6</f>
        <v>455</v>
      </c>
      <c r="H64" s="1207">
        <f>[1]Сухари!H6</f>
        <v>555</v>
      </c>
      <c r="I64" s="1207">
        <f>[1]Сухари!I6</f>
        <v>80</v>
      </c>
      <c r="J64" s="1207">
        <f>[1]Сухари!J6</f>
        <v>155</v>
      </c>
      <c r="K64" s="1207">
        <f>[1]Сухари!K6</f>
        <v>165</v>
      </c>
      <c r="L64" s="1207">
        <f>[1]Сухари!L6</f>
        <v>240</v>
      </c>
      <c r="M64" s="1207">
        <f>[1]Сухари!M6</f>
        <v>340</v>
      </c>
      <c r="N64" s="1207">
        <f>[1]Сухари!N6</f>
        <v>170</v>
      </c>
      <c r="O64" s="1207">
        <f>[1]Сухари!O6</f>
        <v>540</v>
      </c>
      <c r="P64" s="1207">
        <f>[1]Сухари!P6</f>
        <v>500</v>
      </c>
      <c r="Q64" s="1207">
        <f>[1]Сухари!Q6</f>
        <v>234</v>
      </c>
      <c r="R64" s="1207"/>
      <c r="S64" s="1207">
        <f>[1]Сухари!T6</f>
        <v>874.6</v>
      </c>
      <c r="T64" s="1207">
        <f>[1]Сухари!U6</f>
        <v>507.1</v>
      </c>
      <c r="U64" s="1207">
        <f>[1]Сухари!V6</f>
        <v>1381.7</v>
      </c>
      <c r="V64" s="1207">
        <f>[1]Сухари!W6</f>
        <v>1436.9680000000001</v>
      </c>
      <c r="W64" s="136"/>
    </row>
    <row r="65" spans="1:23" x14ac:dyDescent="0.3">
      <c r="A65" s="1207"/>
      <c r="B65" s="1207">
        <f>[1]Сухари!B7</f>
        <v>128</v>
      </c>
      <c r="C65" s="1207">
        <f>[1]Сухари!C7</f>
        <v>1670</v>
      </c>
      <c r="D65" s="1207">
        <f>[1]Сухари!D7</f>
        <v>420</v>
      </c>
      <c r="E65" s="1207">
        <f>[1]Сухари!E7</f>
        <v>1250</v>
      </c>
      <c r="F65" s="1207">
        <f>[1]Сухари!F7</f>
        <v>425</v>
      </c>
      <c r="G65" s="1207">
        <f>[1]Сухари!G7</f>
        <v>440</v>
      </c>
      <c r="H65" s="1207">
        <f>[1]Сухари!H7</f>
        <v>520</v>
      </c>
      <c r="I65" s="1207">
        <f>[1]Сухари!I7</f>
        <v>45</v>
      </c>
      <c r="J65" s="1207">
        <f>[1]Сухари!J7</f>
        <v>90</v>
      </c>
      <c r="K65" s="1207">
        <f>[1]Сухари!K7</f>
        <v>95</v>
      </c>
      <c r="L65" s="1207">
        <f>[1]Сухари!L7</f>
        <v>155</v>
      </c>
      <c r="M65" s="1207">
        <f>[1]Сухари!M7</f>
        <v>260</v>
      </c>
      <c r="N65" s="1207">
        <f>[1]Сухари!N7</f>
        <v>145</v>
      </c>
      <c r="O65" s="1207">
        <f>[1]Сухари!O7</f>
        <v>420</v>
      </c>
      <c r="P65" s="1207">
        <f>[1]Сухари!P7</f>
        <v>420</v>
      </c>
      <c r="Q65" s="1207">
        <f>[1]Сухари!Q7</f>
        <v>240</v>
      </c>
      <c r="R65" s="1207"/>
      <c r="S65" s="1207">
        <f>[1]Сухари!T7</f>
        <v>690</v>
      </c>
      <c r="T65" s="1207">
        <f>[1]Сухари!U7</f>
        <v>489</v>
      </c>
      <c r="U65" s="1207">
        <f>[1]Сухари!V7</f>
        <v>1179</v>
      </c>
      <c r="V65" s="1207">
        <f>[1]Сухари!W7</f>
        <v>1226.1600000000001</v>
      </c>
      <c r="W65" s="136"/>
    </row>
    <row r="66" spans="1:23" x14ac:dyDescent="0.3">
      <c r="A66" s="1207"/>
      <c r="B66" s="1207">
        <f>[1]Сухари!B8</f>
        <v>129</v>
      </c>
      <c r="C66" s="1207">
        <f>[1]Сухари!C8</f>
        <v>1170</v>
      </c>
      <c r="D66" s="1207">
        <f>[1]Сухари!D8</f>
        <v>320</v>
      </c>
      <c r="E66" s="1207">
        <f>[1]Сухари!E8</f>
        <v>850</v>
      </c>
      <c r="F66" s="1207">
        <f>[1]Сухари!F8</f>
        <v>315</v>
      </c>
      <c r="G66" s="1207">
        <f>[1]Сухари!G8</f>
        <v>330</v>
      </c>
      <c r="H66" s="1207">
        <f>[1]Сухари!H8</f>
        <v>390</v>
      </c>
      <c r="I66" s="1207">
        <f>[1]Сухари!I8</f>
        <v>60</v>
      </c>
      <c r="J66" s="1207">
        <f>[1]Сухари!J8</f>
        <v>90</v>
      </c>
      <c r="K66" s="1207">
        <f>[1]Сухари!K8</f>
        <v>100</v>
      </c>
      <c r="L66" s="1207">
        <f>[1]Сухари!L8</f>
        <v>140</v>
      </c>
      <c r="M66" s="1207">
        <f>[1]Сухари!M8</f>
        <v>220</v>
      </c>
      <c r="N66" s="1207">
        <f>[1]Сухари!N8</f>
        <v>120</v>
      </c>
      <c r="O66" s="1207">
        <f>[1]Сухари!O8</f>
        <v>290</v>
      </c>
      <c r="P66" s="1207">
        <f>[1]Сухари!P8</f>
        <v>280</v>
      </c>
      <c r="Q66" s="1207">
        <f>[1]Сухари!Q8</f>
        <v>164</v>
      </c>
      <c r="R66" s="1207"/>
      <c r="S66" s="1207">
        <f>[1]Сухари!T8</f>
        <v>1</v>
      </c>
      <c r="T66" s="1207">
        <f>[1]Сухари!U8</f>
        <v>1</v>
      </c>
      <c r="U66" s="1207">
        <f>[1]Сухари!V8</f>
        <v>1</v>
      </c>
      <c r="V66" s="1207">
        <f>[1]Сухари!W8</f>
        <v>1</v>
      </c>
      <c r="W66" s="136"/>
    </row>
    <row r="67" spans="1:23" x14ac:dyDescent="0.3">
      <c r="A67" s="1207"/>
      <c r="B67" s="1207">
        <f>[1]Сухари!B9</f>
        <v>130</v>
      </c>
      <c r="C67" s="1207">
        <f>[1]Сухари!C9</f>
        <v>1150</v>
      </c>
      <c r="D67" s="1207">
        <f>[1]Сухари!D9</f>
        <v>350</v>
      </c>
      <c r="E67" s="1207">
        <f>[1]Сухари!E9</f>
        <v>800</v>
      </c>
      <c r="F67" s="1207">
        <f>[1]Сухари!F9</f>
        <v>300</v>
      </c>
      <c r="G67" s="1207">
        <f>[1]Сухари!G9</f>
        <v>310</v>
      </c>
      <c r="H67" s="1207">
        <f>[1]Сухари!H9</f>
        <v>390</v>
      </c>
      <c r="I67" s="1207">
        <f>[1]Сухари!I9</f>
        <v>15</v>
      </c>
      <c r="J67" s="1207">
        <f>[1]Сухари!J9</f>
        <v>95</v>
      </c>
      <c r="K67" s="1207">
        <f>[1]Сухари!K9</f>
        <v>100</v>
      </c>
      <c r="L67" s="1207">
        <f>[1]Сухари!L9</f>
        <v>115</v>
      </c>
      <c r="M67" s="1207">
        <f>[1]Сухари!M9</f>
        <v>190</v>
      </c>
      <c r="N67" s="1207">
        <f>[1]Сухари!N9</f>
        <v>120</v>
      </c>
      <c r="O67" s="1207">
        <f>[1]Сухари!O9</f>
        <v>260</v>
      </c>
      <c r="P67" s="1207">
        <f>[1]Сухари!P9</f>
        <v>255</v>
      </c>
      <c r="Q67" s="1207">
        <f>[1]Сухари!Q9</f>
        <v>152.5</v>
      </c>
      <c r="R67" s="1207"/>
      <c r="S67" s="1207">
        <f>[1]Сухари!T9</f>
        <v>228</v>
      </c>
      <c r="T67" s="1207">
        <f>[1]Сухари!U9</f>
        <v>160</v>
      </c>
      <c r="U67" s="1207">
        <f>[1]Сухари!V9</f>
        <v>388</v>
      </c>
      <c r="V67" s="1207">
        <f>[1]Сухари!W9</f>
        <v>403.52000000000004</v>
      </c>
      <c r="W67" s="136"/>
    </row>
    <row r="68" spans="1:23" x14ac:dyDescent="0.3">
      <c r="A68" s="1207"/>
      <c r="B68" s="1207">
        <f>[1]Сухари!B10</f>
        <v>131</v>
      </c>
      <c r="C68" s="1207">
        <f>[1]Сухари!C10</f>
        <v>1075</v>
      </c>
      <c r="D68" s="1207">
        <f>[1]Сухари!D10</f>
        <v>330</v>
      </c>
      <c r="E68" s="1207">
        <f>[1]Сухари!E10</f>
        <v>745</v>
      </c>
      <c r="F68" s="1207">
        <f>[1]Сухари!F10</f>
        <v>260</v>
      </c>
      <c r="G68" s="1207">
        <f>[1]Сухари!G10</f>
        <v>270</v>
      </c>
      <c r="H68" s="1207">
        <f>[1]Сухари!H10</f>
        <v>335</v>
      </c>
      <c r="I68" s="1207">
        <f>[1]Сухари!I10</f>
        <v>55</v>
      </c>
      <c r="J68" s="1207">
        <f>[1]Сухари!J10</f>
        <v>75</v>
      </c>
      <c r="K68" s="1207">
        <f>[1]Сухари!K10</f>
        <v>85</v>
      </c>
      <c r="L68" s="1207">
        <f>[1]Сухари!L10</f>
        <v>150</v>
      </c>
      <c r="M68" s="1207">
        <f>[1]Сухари!M10</f>
        <v>220</v>
      </c>
      <c r="N68" s="1207">
        <f>[1]Сухари!N10</f>
        <v>100</v>
      </c>
      <c r="O68" s="1207">
        <f>[1]Сухари!O10</f>
        <v>260</v>
      </c>
      <c r="P68" s="1207">
        <f>[1]Сухари!P10</f>
        <v>230</v>
      </c>
      <c r="Q68" s="1207">
        <f>[1]Сухари!Q10</f>
        <v>129</v>
      </c>
      <c r="R68" s="1207"/>
      <c r="S68" s="1207">
        <f>[1]Сухари!T10</f>
        <v>170</v>
      </c>
      <c r="T68" s="1207">
        <f>[1]Сухари!U10</f>
        <v>121.22</v>
      </c>
      <c r="U68" s="1207">
        <f>[1]Сухари!V10</f>
        <v>291.22000000000003</v>
      </c>
      <c r="V68" s="1207">
        <f>[1]Сухари!W10</f>
        <v>302.86880000000002</v>
      </c>
      <c r="W68" s="136"/>
    </row>
    <row r="69" spans="1:23" x14ac:dyDescent="0.3">
      <c r="A69" s="1207"/>
      <c r="B69" s="1207">
        <f>[1]Сухари!B11</f>
        <v>132</v>
      </c>
      <c r="C69" s="1207">
        <f>[1]Сухари!C11</f>
        <v>1045</v>
      </c>
      <c r="D69" s="1207">
        <f>[1]Сухари!D11</f>
        <v>330</v>
      </c>
      <c r="E69" s="1207">
        <f>[1]Сухари!E11</f>
        <v>715</v>
      </c>
      <c r="F69" s="1207">
        <f>[1]Сухари!F11</f>
        <v>325</v>
      </c>
      <c r="G69" s="1207">
        <f>[1]Сухари!G11</f>
        <v>340</v>
      </c>
      <c r="H69" s="1207">
        <f>[1]Сухари!H11</f>
        <v>410</v>
      </c>
      <c r="I69" s="1207">
        <f>[1]Сухари!I11</f>
        <v>75</v>
      </c>
      <c r="J69" s="1207">
        <f>[1]Сухари!J11</f>
        <v>105</v>
      </c>
      <c r="K69" s="1207">
        <f>[1]Сухари!K11</f>
        <v>105</v>
      </c>
      <c r="L69" s="1207">
        <f>[1]Сухари!L11</f>
        <v>180</v>
      </c>
      <c r="M69" s="1207">
        <f>[1]Сухари!M11</f>
        <v>240</v>
      </c>
      <c r="N69" s="1207">
        <f>[1]Сухари!N11</f>
        <v>125</v>
      </c>
      <c r="O69" s="1207">
        <f>[1]Сухари!O11</f>
        <v>175</v>
      </c>
      <c r="P69" s="1207">
        <f>[1]Сухари!P11</f>
        <v>160</v>
      </c>
      <c r="Q69" s="1207">
        <f>[1]Сухари!Q11</f>
        <v>0</v>
      </c>
      <c r="R69" s="1207"/>
      <c r="S69" s="1207">
        <f>[1]Сухари!T11</f>
        <v>1</v>
      </c>
      <c r="T69" s="1207">
        <f>[1]Сухари!U11</f>
        <v>1</v>
      </c>
      <c r="U69" s="1207">
        <f>[1]Сухари!V11</f>
        <v>1</v>
      </c>
      <c r="V69" s="1207">
        <f>[1]Сухари!W11</f>
        <v>1</v>
      </c>
      <c r="W69" s="136"/>
    </row>
    <row r="70" spans="1:23" x14ac:dyDescent="0.3">
      <c r="A70" s="1207"/>
      <c r="B70" s="1207">
        <f>[1]Сухари!B12</f>
        <v>133</v>
      </c>
      <c r="C70" s="1207">
        <f>[1]Сухари!C12</f>
        <v>1350</v>
      </c>
      <c r="D70" s="1207">
        <f>[1]Сухари!D12</f>
        <v>370</v>
      </c>
      <c r="E70" s="1207">
        <f>[1]Сухари!E12</f>
        <v>980</v>
      </c>
      <c r="F70" s="1207">
        <f>[1]Сухари!F12</f>
        <v>340</v>
      </c>
      <c r="G70" s="1207">
        <f>[1]Сухари!G12</f>
        <v>355</v>
      </c>
      <c r="H70" s="1207">
        <f>[1]Сухари!H12</f>
        <v>420</v>
      </c>
      <c r="I70" s="1207">
        <f>[1]Сухари!I12</f>
        <v>65</v>
      </c>
      <c r="J70" s="1207">
        <f>[1]Сухари!J12</f>
        <v>110</v>
      </c>
      <c r="K70" s="1207">
        <f>[1]Сухари!K12</f>
        <v>115</v>
      </c>
      <c r="L70" s="1207">
        <f>[1]Сухари!L12</f>
        <v>160</v>
      </c>
      <c r="M70" s="1207">
        <f>[1]Сухари!M12</f>
        <v>250</v>
      </c>
      <c r="N70" s="1207">
        <f>[1]Сухари!N12</f>
        <v>140</v>
      </c>
      <c r="O70" s="1207">
        <f>[1]Сухари!O12</f>
        <v>350</v>
      </c>
      <c r="P70" s="1207">
        <f>[1]Сухари!P12</f>
        <v>300</v>
      </c>
      <c r="Q70" s="1207">
        <f>[1]Сухари!Q12</f>
        <v>197.5</v>
      </c>
      <c r="R70" s="1207"/>
      <c r="S70" s="1207">
        <f>[1]Сухари!T12</f>
        <v>385.9</v>
      </c>
      <c r="T70" s="1207">
        <f>[1]Сухари!U12</f>
        <v>214.2</v>
      </c>
      <c r="U70" s="1207">
        <f>[1]Сухари!V12</f>
        <v>600.09999999999991</v>
      </c>
      <c r="V70" s="1207">
        <f>[1]Сухари!W12</f>
        <v>624.10399999999993</v>
      </c>
      <c r="W70" s="136"/>
    </row>
    <row r="71" spans="1:23" x14ac:dyDescent="0.3">
      <c r="A71" s="1207"/>
      <c r="B71" s="1207">
        <f>[1]Сухари!B13</f>
        <v>134</v>
      </c>
      <c r="C71" s="1207">
        <f>[1]Сухари!C13</f>
        <v>1450</v>
      </c>
      <c r="D71" s="1207">
        <f>[1]Сухари!D13</f>
        <v>390</v>
      </c>
      <c r="E71" s="1207">
        <f>[1]Сухари!E13</f>
        <v>1060</v>
      </c>
      <c r="F71" s="1207">
        <f>[1]Сухари!F13</f>
        <v>355</v>
      </c>
      <c r="G71" s="1207">
        <f>[1]Сухари!G13</f>
        <v>380</v>
      </c>
      <c r="H71" s="1207">
        <f>[1]Сухари!H13</f>
        <v>450</v>
      </c>
      <c r="I71" s="1207">
        <f>[1]Сухари!I13</f>
        <v>83</v>
      </c>
      <c r="J71" s="1207">
        <f>[1]Сухари!J13</f>
        <v>170</v>
      </c>
      <c r="K71" s="1207">
        <f>[1]Сухари!K13</f>
        <v>190</v>
      </c>
      <c r="L71" s="1207">
        <f>[1]Сухари!L13</f>
        <v>180</v>
      </c>
      <c r="M71" s="1207">
        <f>[1]Сухари!M13</f>
        <v>260</v>
      </c>
      <c r="N71" s="1207">
        <f>[1]Сухари!N13</f>
        <v>150</v>
      </c>
      <c r="O71" s="1207">
        <f>[1]Сухари!O13</f>
        <v>350</v>
      </c>
      <c r="P71" s="1207">
        <f>[1]Сухари!P13</f>
        <v>320</v>
      </c>
      <c r="Q71" s="1207">
        <f>[1]Сухари!Q13</f>
        <v>202.5</v>
      </c>
      <c r="R71" s="1207"/>
      <c r="S71" s="1207">
        <f>[1]Сухари!T13</f>
        <v>438.3</v>
      </c>
      <c r="T71" s="1207">
        <f>[1]Сухари!U13</f>
        <v>246.3</v>
      </c>
      <c r="U71" s="1207">
        <f>[1]Сухари!V13</f>
        <v>684.6</v>
      </c>
      <c r="V71" s="1207">
        <f>[1]Сухари!W13</f>
        <v>711.98400000000004</v>
      </c>
      <c r="W71" s="136"/>
    </row>
    <row r="72" spans="1:23" x14ac:dyDescent="0.3">
      <c r="A72" s="1207"/>
      <c r="B72" s="1207">
        <f>[1]Сухари!B14</f>
        <v>135</v>
      </c>
      <c r="C72" s="1207">
        <f>[1]Сухари!C14</f>
        <v>1350</v>
      </c>
      <c r="D72" s="1207">
        <f>[1]Сухари!D14</f>
        <v>380</v>
      </c>
      <c r="E72" s="1207">
        <f>[1]Сухари!E14</f>
        <v>970</v>
      </c>
      <c r="F72" s="1207">
        <f>[1]Сухари!F14</f>
        <v>340</v>
      </c>
      <c r="G72" s="1207">
        <f>[1]Сухари!G14</f>
        <v>360</v>
      </c>
      <c r="H72" s="1207">
        <f>[1]Сухари!H14</f>
        <v>430</v>
      </c>
      <c r="I72" s="1207">
        <f>[1]Сухари!I14</f>
        <v>63</v>
      </c>
      <c r="J72" s="1207">
        <f>[1]Сухари!J14</f>
        <v>108</v>
      </c>
      <c r="K72" s="1207">
        <f>[1]Сухари!K14</f>
        <v>118</v>
      </c>
      <c r="L72" s="1207">
        <f>[1]Сухари!L14</f>
        <v>158</v>
      </c>
      <c r="M72" s="1207">
        <f>[1]Сухари!M14</f>
        <v>248</v>
      </c>
      <c r="N72" s="1207">
        <f>[1]Сухари!N14</f>
        <v>130</v>
      </c>
      <c r="O72" s="1207">
        <f>[1]Сухари!O14</f>
        <v>350</v>
      </c>
      <c r="P72" s="1207">
        <f>[1]Сухари!P14</f>
        <v>320</v>
      </c>
      <c r="Q72" s="1207">
        <f>[1]Сухари!Q14</f>
        <v>168</v>
      </c>
      <c r="R72" s="1207"/>
      <c r="S72" s="1207">
        <f>[1]Сухари!T14</f>
        <v>349</v>
      </c>
      <c r="T72" s="1207">
        <f>[1]Сухари!U14</f>
        <v>209.7</v>
      </c>
      <c r="U72" s="1207">
        <f>[1]Сухари!V14</f>
        <v>558.70000000000005</v>
      </c>
      <c r="V72" s="1207">
        <f>[1]Сухари!W14</f>
        <v>581.04800000000012</v>
      </c>
      <c r="W72" s="136"/>
    </row>
    <row r="73" spans="1:23" x14ac:dyDescent="0.3">
      <c r="A73" s="1207"/>
      <c r="B73" s="1207">
        <f>[1]Сухари!B15</f>
        <v>136</v>
      </c>
      <c r="C73" s="1207">
        <f>[1]Сухари!C15</f>
        <v>1280</v>
      </c>
      <c r="D73" s="1207">
        <f>[1]Сухари!D15</f>
        <v>380</v>
      </c>
      <c r="E73" s="1207">
        <f>[1]Сухари!E15</f>
        <v>900</v>
      </c>
      <c r="F73" s="1207">
        <f>[1]Сухари!F15</f>
        <v>405</v>
      </c>
      <c r="G73" s="1207">
        <f>[1]Сухари!G15</f>
        <v>420</v>
      </c>
      <c r="H73" s="1207">
        <f>[1]Сухари!H15</f>
        <v>500</v>
      </c>
      <c r="I73" s="1207">
        <f>[1]Сухари!I15</f>
        <v>35</v>
      </c>
      <c r="J73" s="1207">
        <f>[1]Сухари!J15</f>
        <v>65</v>
      </c>
      <c r="K73" s="1207">
        <f>[1]Сухари!K15</f>
        <v>75</v>
      </c>
      <c r="L73" s="1207">
        <f>[1]Сухари!L15</f>
        <v>130</v>
      </c>
      <c r="M73" s="1207">
        <f>[1]Сухари!M15</f>
        <v>200</v>
      </c>
      <c r="N73" s="1207">
        <f>[1]Сухари!N15</f>
        <v>130</v>
      </c>
      <c r="O73" s="1207">
        <f>[1]Сухари!O15</f>
        <v>310</v>
      </c>
      <c r="P73" s="1207">
        <f>[1]Сухари!P15</f>
        <v>250</v>
      </c>
      <c r="Q73" s="1207">
        <f>[1]Сухари!Q15</f>
        <v>164</v>
      </c>
      <c r="R73" s="1207"/>
      <c r="S73" s="1207">
        <f>[1]Сухари!T15</f>
        <v>329</v>
      </c>
      <c r="T73" s="1207">
        <f>[1]Сухари!U15</f>
        <v>213</v>
      </c>
      <c r="U73" s="1207">
        <f>[1]Сухари!V15</f>
        <v>542</v>
      </c>
      <c r="V73" s="1207">
        <f>[1]Сухари!W15</f>
        <v>563.68000000000006</v>
      </c>
      <c r="W73" s="136"/>
    </row>
    <row r="74" spans="1:23" x14ac:dyDescent="0.3">
      <c r="A74" s="1207"/>
      <c r="B74" s="1207">
        <f>[1]Сухари!B16</f>
        <v>137</v>
      </c>
      <c r="C74" s="1207">
        <f>[1]Сухари!C16</f>
        <v>1770</v>
      </c>
      <c r="D74" s="1207">
        <f>[1]Сухари!D16</f>
        <v>470</v>
      </c>
      <c r="E74" s="1207">
        <f>[1]Сухари!E16</f>
        <v>1300</v>
      </c>
      <c r="F74" s="1207">
        <f>[1]Сухари!F16</f>
        <v>480</v>
      </c>
      <c r="G74" s="1207">
        <f>[1]Сухари!G16</f>
        <v>500</v>
      </c>
      <c r="H74" s="1207">
        <f>[1]Сухари!H16</f>
        <v>555</v>
      </c>
      <c r="I74" s="1207">
        <f>[1]Сухари!I16</f>
        <v>100</v>
      </c>
      <c r="J74" s="1207">
        <f>[1]Сухари!J16</f>
        <v>160</v>
      </c>
      <c r="K74" s="1207">
        <f>[1]Сухари!K16</f>
        <v>170</v>
      </c>
      <c r="L74" s="1207">
        <f>[1]Сухари!L16</f>
        <v>310</v>
      </c>
      <c r="M74" s="1207">
        <f>[1]Сухари!M16</f>
        <v>430</v>
      </c>
      <c r="N74" s="1207">
        <f>[1]Сухари!N16</f>
        <v>160</v>
      </c>
      <c r="O74" s="1207">
        <f>[1]Сухари!O16</f>
        <v>400</v>
      </c>
      <c r="P74" s="1207">
        <f>[1]Сухари!P16</f>
        <v>400</v>
      </c>
      <c r="Q74" s="1207">
        <f>[1]Сухари!Q16</f>
        <v>177.5</v>
      </c>
      <c r="R74" s="1207"/>
      <c r="S74" s="1207">
        <f>[1]Сухари!T16</f>
        <v>937.6</v>
      </c>
      <c r="T74" s="1207">
        <f>[1]Сухари!U16</f>
        <v>563.4</v>
      </c>
      <c r="U74" s="1207">
        <f>[1]Сухари!V16</f>
        <v>1501</v>
      </c>
      <c r="V74" s="1207">
        <f>[1]Сухари!W16</f>
        <v>1561.04</v>
      </c>
      <c r="W74" s="136"/>
    </row>
    <row r="75" spans="1:23" x14ac:dyDescent="0.3">
      <c r="A75" s="1207"/>
      <c r="B75" s="1207"/>
      <c r="C75" s="1207"/>
      <c r="D75" s="1207"/>
      <c r="E75" s="1207"/>
      <c r="F75" s="1207"/>
      <c r="G75" s="1207"/>
      <c r="H75" s="1207"/>
      <c r="I75" s="1207"/>
      <c r="J75" s="1207"/>
      <c r="K75" s="1207"/>
      <c r="L75" s="1207"/>
      <c r="M75" s="1207"/>
      <c r="N75" s="1207"/>
      <c r="O75" s="1207"/>
      <c r="P75" s="1207"/>
      <c r="Q75" s="1207"/>
      <c r="R75" s="1207"/>
      <c r="S75" s="1207"/>
      <c r="T75" s="1207"/>
      <c r="U75" s="1207"/>
      <c r="V75" s="1207"/>
      <c r="W75" s="136"/>
    </row>
    <row r="76" spans="1:23" x14ac:dyDescent="0.3">
      <c r="A76" s="1207"/>
      <c r="B76" s="1207"/>
      <c r="C76" s="1207"/>
      <c r="D76" s="1207"/>
      <c r="E76" s="1207"/>
      <c r="F76" s="1207"/>
      <c r="G76" s="1207"/>
      <c r="H76" s="1207"/>
      <c r="I76" s="1207"/>
      <c r="J76" s="1207"/>
      <c r="K76" s="1207"/>
      <c r="L76" s="1207"/>
      <c r="M76" s="1207"/>
      <c r="N76" s="1207"/>
      <c r="O76" s="1207"/>
      <c r="P76" s="1207"/>
      <c r="Q76" s="1207"/>
      <c r="R76" s="1207"/>
      <c r="S76" s="1207"/>
      <c r="T76" s="1207"/>
      <c r="U76" s="1207"/>
      <c r="V76" s="1207"/>
      <c r="W76" s="136"/>
    </row>
    <row r="77" spans="1:23" x14ac:dyDescent="0.3">
      <c r="A77" s="136"/>
      <c r="B77" s="136" t="b">
        <v>1</v>
      </c>
      <c r="C77" s="136" t="str">
        <f>_xlfn.IFS(B77=TRUE,VLOOKUP(F7,Данные!A3:E22,5),M5&lt;16,VLOOKUP(F7,Данные!A3:E22,2),OR(M5&gt;=16,M5&lt;40),VLOOKUP(F7,Данные!A3:E22,3),M5&gt;=40,VLOOKUP(F7,Данные!A3:E22,4))</f>
        <v>1080-1100</v>
      </c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</row>
    <row r="78" spans="1:23" x14ac:dyDescent="0.3">
      <c r="A78" s="136"/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</row>
    <row r="79" spans="1:23" x14ac:dyDescent="0.3">
      <c r="A79" s="136"/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</row>
    <row r="80" spans="1:23" x14ac:dyDescent="0.3">
      <c r="A80" s="136"/>
      <c r="B80" s="136"/>
      <c r="C80" s="136"/>
      <c r="D80" s="136"/>
      <c r="E80" s="136"/>
      <c r="F80" s="136"/>
      <c r="G80" s="136"/>
      <c r="H80" s="136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</row>
    <row r="81" spans="1:23" x14ac:dyDescent="0.3">
      <c r="A81" s="136"/>
      <c r="B81" s="136"/>
      <c r="C81" s="136"/>
      <c r="D81" s="136"/>
      <c r="E81" s="136"/>
      <c r="F81" s="136"/>
      <c r="G81" s="136"/>
      <c r="H81" s="136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</row>
    <row r="82" spans="1:23" x14ac:dyDescent="0.3">
      <c r="A82" s="136"/>
      <c r="B82" s="136"/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</row>
  </sheetData>
  <mergeCells count="6">
    <mergeCell ref="B45:C45"/>
    <mergeCell ref="I50:J50"/>
    <mergeCell ref="H15:J15"/>
    <mergeCell ref="L22:P22"/>
    <mergeCell ref="L23:P23"/>
    <mergeCell ref="L24:P24"/>
  </mergeCells>
  <dataValidations disablePrompts="1" count="1">
    <dataValidation type="list" allowBlank="1" showInputMessage="1" showErrorMessage="1" sqref="J3" xr:uid="{CCCBC1D9-1116-44FF-919C-6428CB9F81E0}">
      <formula1>$B$62:$B$74</formula1>
    </dataValidation>
  </dataValidations>
  <pageMargins left="0.7" right="0.7" top="0.75" bottom="0.75" header="0.3" footer="0.3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W1" zoomScale="85" zoomScaleNormal="85" workbookViewId="0">
      <selection activeCell="AD23" sqref="AD23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362" customWidth="1"/>
    <col min="13" max="13" width="4.109375" style="1362" customWidth="1"/>
    <col min="14" max="14" width="11.44140625" style="1362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1009" t="s">
        <v>279</v>
      </c>
      <c r="AC1" s="1009" t="s">
        <v>368</v>
      </c>
    </row>
    <row r="2" spans="1:57" ht="15.6" x14ac:dyDescent="0.3">
      <c r="C2" s="1395" t="s">
        <v>1197</v>
      </c>
      <c r="E2" s="1396" t="s">
        <v>1198</v>
      </c>
      <c r="Q2" s="521" t="s">
        <v>837</v>
      </c>
      <c r="Z2" s="476"/>
      <c r="AA2" s="1739" t="s">
        <v>823</v>
      </c>
      <c r="AB2" s="1739"/>
      <c r="AC2" s="1739"/>
      <c r="AE2" s="521" t="s">
        <v>829</v>
      </c>
      <c r="AF2" s="520"/>
      <c r="AG2" s="520"/>
      <c r="AI2" s="43"/>
      <c r="AJ2" s="43"/>
      <c r="AK2" s="521"/>
      <c r="AL2" s="520"/>
      <c r="AM2" s="520"/>
      <c r="AN2" s="520"/>
      <c r="AP2" s="520"/>
      <c r="AQ2" s="1000"/>
      <c r="AS2" s="521" t="s">
        <v>831</v>
      </c>
      <c r="AT2" s="520"/>
      <c r="AU2" s="520"/>
      <c r="AV2" s="43"/>
      <c r="AW2" s="43"/>
      <c r="AX2" s="43"/>
      <c r="AY2" s="521"/>
      <c r="AZ2" s="520"/>
      <c r="BA2" s="520"/>
      <c r="BB2" s="520"/>
      <c r="BC2" s="43"/>
      <c r="BD2" s="520"/>
      <c r="BE2" s="520"/>
    </row>
    <row r="3" spans="1:57" ht="15" thickBot="1" x14ac:dyDescent="0.35">
      <c r="H3" s="380"/>
      <c r="J3" s="477" t="s">
        <v>809</v>
      </c>
      <c r="P3" s="476"/>
      <c r="Q3" s="476"/>
      <c r="R3" s="476"/>
      <c r="S3" s="476"/>
      <c r="T3" s="476"/>
      <c r="U3" s="476"/>
      <c r="V3" s="476"/>
      <c r="W3" s="476"/>
      <c r="X3" s="43"/>
      <c r="Y3" s="477" t="s">
        <v>809</v>
      </c>
      <c r="Z3" s="59"/>
      <c r="AA3" s="43"/>
      <c r="AB3" s="43"/>
      <c r="AC3" s="43"/>
      <c r="AE3" s="476"/>
      <c r="AF3" s="476"/>
      <c r="AG3" s="476"/>
      <c r="AH3" s="476"/>
      <c r="AI3" s="476"/>
      <c r="AJ3" s="476"/>
      <c r="AK3" s="476"/>
      <c r="AL3" s="43"/>
      <c r="AM3" s="477" t="s">
        <v>809</v>
      </c>
      <c r="AN3" s="476"/>
      <c r="AO3" s="476"/>
      <c r="AP3" s="476"/>
      <c r="AQ3" s="43"/>
      <c r="AS3" s="476"/>
      <c r="AT3" s="476"/>
      <c r="AU3" s="476"/>
      <c r="AV3" s="476"/>
      <c r="AW3" s="476"/>
      <c r="AX3" s="476"/>
      <c r="AY3" s="476"/>
      <c r="AZ3" s="43"/>
      <c r="BA3" s="477" t="s">
        <v>809</v>
      </c>
      <c r="BB3" s="476"/>
      <c r="BC3" s="476"/>
      <c r="BD3" s="476"/>
      <c r="BE3" s="43"/>
    </row>
    <row r="4" spans="1:57" ht="15" thickBot="1" x14ac:dyDescent="0.35">
      <c r="B4" s="1"/>
      <c r="C4" s="1740" t="s">
        <v>0</v>
      </c>
      <c r="D4" s="1740"/>
      <c r="E4" s="1740"/>
      <c r="F4" s="1740"/>
      <c r="G4" s="1740"/>
      <c r="H4" s="2"/>
      <c r="I4" s="2"/>
      <c r="J4" s="1341" t="s">
        <v>1097</v>
      </c>
      <c r="K4" s="59"/>
      <c r="L4" s="1371" t="s">
        <v>810</v>
      </c>
      <c r="M4" s="1383"/>
      <c r="N4" s="1372" t="s">
        <v>810</v>
      </c>
      <c r="P4" s="1"/>
      <c r="Q4" s="1740" t="s">
        <v>0</v>
      </c>
      <c r="R4" s="1740"/>
      <c r="S4" s="1740"/>
      <c r="T4" s="1740"/>
      <c r="U4" s="1740"/>
      <c r="V4" s="1342"/>
      <c r="W4" s="2"/>
      <c r="X4" s="2"/>
      <c r="Y4" s="1341" t="s">
        <v>1097</v>
      </c>
      <c r="Z4" s="420"/>
      <c r="AA4" s="1360" t="s">
        <v>810</v>
      </c>
      <c r="AB4" s="539"/>
      <c r="AC4" s="1334" t="s">
        <v>810</v>
      </c>
      <c r="AE4" s="1"/>
      <c r="AF4" s="1740" t="s">
        <v>0</v>
      </c>
      <c r="AG4" s="1740"/>
      <c r="AH4" s="1740"/>
      <c r="AI4" s="1740"/>
      <c r="AJ4" s="1740"/>
      <c r="AK4" s="2"/>
      <c r="AL4" s="2"/>
      <c r="AM4" s="80" t="s">
        <v>1097</v>
      </c>
      <c r="AN4" s="59"/>
      <c r="AO4" s="547" t="s">
        <v>810</v>
      </c>
      <c r="AP4" s="548"/>
      <c r="AQ4" s="580" t="s">
        <v>810</v>
      </c>
      <c r="AS4" s="1"/>
      <c r="AT4" s="1740" t="s">
        <v>0</v>
      </c>
      <c r="AU4" s="1740"/>
      <c r="AV4" s="1740"/>
      <c r="AW4" s="1740"/>
      <c r="AX4" s="1740"/>
      <c r="AY4" s="2"/>
      <c r="AZ4" s="2"/>
      <c r="BA4" s="80" t="s">
        <v>1097</v>
      </c>
      <c r="BB4" s="59"/>
      <c r="BC4" s="547" t="s">
        <v>810</v>
      </c>
      <c r="BD4" s="548"/>
      <c r="BE4" s="549" t="s">
        <v>810</v>
      </c>
    </row>
    <row r="5" spans="1:57" ht="15" thickBot="1" x14ac:dyDescent="0.35">
      <c r="B5" s="4"/>
      <c r="C5" s="71" t="s">
        <v>2</v>
      </c>
      <c r="D5" s="71"/>
      <c r="E5" s="71"/>
      <c r="G5" s="528" t="s">
        <v>1214</v>
      </c>
      <c r="H5" s="478"/>
      <c r="I5" s="478"/>
      <c r="J5" s="8"/>
      <c r="K5" s="420"/>
      <c r="L5" s="1373" t="s">
        <v>811</v>
      </c>
      <c r="M5" s="1384"/>
      <c r="N5" s="1374" t="s">
        <v>812</v>
      </c>
      <c r="P5" s="4"/>
      <c r="Q5" s="71" t="s">
        <v>2</v>
      </c>
      <c r="R5" s="71"/>
      <c r="S5" s="71"/>
      <c r="T5" s="43"/>
      <c r="U5" s="7" t="s">
        <v>1209</v>
      </c>
      <c r="V5" s="537"/>
      <c r="W5" s="478"/>
      <c r="X5" s="478"/>
      <c r="Y5" s="8"/>
      <c r="Z5" s="4"/>
      <c r="AA5" s="1361" t="s">
        <v>811</v>
      </c>
      <c r="AB5" s="540"/>
      <c r="AC5" s="1335" t="s">
        <v>812</v>
      </c>
      <c r="AE5" s="4"/>
      <c r="AF5" s="71" t="s">
        <v>2</v>
      </c>
      <c r="AG5" s="71"/>
      <c r="AH5" s="71"/>
      <c r="AI5" s="43"/>
      <c r="AJ5" s="528" t="s">
        <v>1264</v>
      </c>
      <c r="AK5" s="478"/>
      <c r="AL5" s="478"/>
      <c r="AM5" s="8"/>
      <c r="AN5" s="420"/>
      <c r="AO5" s="550" t="s">
        <v>811</v>
      </c>
      <c r="AP5" s="551"/>
      <c r="AQ5" s="581" t="s">
        <v>825</v>
      </c>
      <c r="AS5" s="4"/>
      <c r="AT5" s="71" t="s">
        <v>2</v>
      </c>
      <c r="AU5" s="71"/>
      <c r="AV5" s="71"/>
      <c r="AW5" s="43"/>
      <c r="AX5" s="528" t="s">
        <v>1213</v>
      </c>
      <c r="AY5" s="478"/>
      <c r="AZ5" s="478"/>
      <c r="BA5" s="8"/>
      <c r="BB5" s="420"/>
      <c r="BC5" s="550" t="s">
        <v>811</v>
      </c>
      <c r="BD5" s="551"/>
      <c r="BE5" s="552" t="s">
        <v>825</v>
      </c>
    </row>
    <row r="6" spans="1:57" x14ac:dyDescent="0.3">
      <c r="B6" s="4"/>
      <c r="C6" s="59" t="s">
        <v>4</v>
      </c>
      <c r="D6" s="59"/>
      <c r="F6" s="479"/>
      <c r="G6" s="1403" t="s">
        <v>1216</v>
      </c>
      <c r="H6" s="59"/>
      <c r="I6" s="59"/>
      <c r="J6" s="10"/>
      <c r="K6" s="4"/>
      <c r="L6" s="1375">
        <v>0</v>
      </c>
      <c r="M6" s="1380"/>
      <c r="N6" s="1441">
        <v>0</v>
      </c>
      <c r="P6" s="4"/>
      <c r="Q6" s="59" t="s">
        <v>4</v>
      </c>
      <c r="R6" s="59"/>
      <c r="S6" s="43"/>
      <c r="T6" s="479"/>
      <c r="U6" s="1413" t="s">
        <v>1210</v>
      </c>
      <c r="V6" s="1020"/>
      <c r="W6" s="77"/>
      <c r="X6" s="59"/>
      <c r="Y6" s="10"/>
      <c r="Z6" s="4"/>
      <c r="AA6" s="541"/>
      <c r="AB6" s="542"/>
      <c r="AC6" s="577">
        <v>0</v>
      </c>
      <c r="AE6" s="4"/>
      <c r="AF6" s="59" t="s">
        <v>4</v>
      </c>
      <c r="AG6" s="59"/>
      <c r="AH6" s="43"/>
      <c r="AI6" s="479"/>
      <c r="AJ6" s="529" t="s">
        <v>1267</v>
      </c>
      <c r="AK6" s="59"/>
      <c r="AL6" s="59"/>
      <c r="AM6" s="10"/>
      <c r="AN6" s="4"/>
      <c r="AO6" s="553">
        <v>0</v>
      </c>
      <c r="AP6" s="554"/>
      <c r="AQ6" s="582">
        <v>0</v>
      </c>
      <c r="AS6" s="4"/>
      <c r="AT6" s="59" t="s">
        <v>4</v>
      </c>
      <c r="AU6" s="59"/>
      <c r="AV6" s="43"/>
      <c r="AW6" s="479"/>
      <c r="AX6" s="529" t="s">
        <v>1212</v>
      </c>
      <c r="AY6" s="59"/>
      <c r="AZ6" s="59"/>
      <c r="BA6" s="10"/>
      <c r="BB6" s="4"/>
      <c r="BC6" s="553">
        <v>0</v>
      </c>
      <c r="BD6" s="554"/>
      <c r="BE6" s="555">
        <v>0</v>
      </c>
    </row>
    <row r="7" spans="1:57" x14ac:dyDescent="0.3">
      <c r="B7" s="4"/>
      <c r="C7" s="59" t="s">
        <v>6</v>
      </c>
      <c r="D7" s="59"/>
      <c r="E7" s="59"/>
      <c r="G7" s="530" t="s">
        <v>1217</v>
      </c>
      <c r="H7" s="59"/>
      <c r="I7" s="59"/>
      <c r="J7" s="10"/>
      <c r="K7" s="4"/>
      <c r="L7" s="1375">
        <v>185</v>
      </c>
      <c r="M7" s="1380"/>
      <c r="N7" s="1442">
        <f>_xlfn.CEILING.MATH(L7+N19*2/0.985,5)</f>
        <v>195</v>
      </c>
      <c r="P7" s="4"/>
      <c r="Q7" s="59" t="s">
        <v>6</v>
      </c>
      <c r="R7" s="59"/>
      <c r="S7" s="59"/>
      <c r="T7" s="43"/>
      <c r="U7" s="1413" t="s">
        <v>1107</v>
      </c>
      <c r="V7" s="527"/>
      <c r="W7" s="77"/>
      <c r="X7" s="59"/>
      <c r="Y7" s="10"/>
      <c r="Z7" s="4"/>
      <c r="AA7" s="541">
        <v>140</v>
      </c>
      <c r="AB7" s="542"/>
      <c r="AC7" s="577">
        <f>AA18</f>
        <v>540</v>
      </c>
      <c r="AE7" s="4"/>
      <c r="AF7" s="59" t="s">
        <v>6</v>
      </c>
      <c r="AG7" s="59"/>
      <c r="AH7" s="59"/>
      <c r="AI7" s="43"/>
      <c r="AJ7" s="530" t="s">
        <v>7</v>
      </c>
      <c r="AK7" s="59"/>
      <c r="AL7" s="59"/>
      <c r="AM7" s="10"/>
      <c r="AN7" s="4"/>
      <c r="AO7" s="553">
        <v>140</v>
      </c>
      <c r="AP7" s="554"/>
      <c r="AQ7" s="583">
        <v>138</v>
      </c>
      <c r="AS7" s="4"/>
      <c r="AT7" s="59" t="s">
        <v>6</v>
      </c>
      <c r="AU7" s="59"/>
      <c r="AV7" s="59"/>
      <c r="AW7" s="43"/>
      <c r="AX7" s="530" t="s">
        <v>1107</v>
      </c>
      <c r="AY7" s="59"/>
      <c r="AZ7" s="59"/>
      <c r="BA7" s="10"/>
      <c r="BB7" s="4"/>
      <c r="BC7" s="553">
        <v>500</v>
      </c>
      <c r="BD7" s="554"/>
      <c r="BE7" s="556">
        <f>BC18</f>
        <v>179.33333333333331</v>
      </c>
    </row>
    <row r="8" spans="1:57" ht="15" thickBot="1" x14ac:dyDescent="0.35">
      <c r="B8" s="4"/>
      <c r="C8" s="59" t="s">
        <v>10</v>
      </c>
      <c r="D8" s="59"/>
      <c r="E8" s="59"/>
      <c r="G8" s="531" t="s">
        <v>1218</v>
      </c>
      <c r="H8" s="59"/>
      <c r="I8" s="59"/>
      <c r="J8" s="10"/>
      <c r="K8" s="4"/>
      <c r="L8" s="1375">
        <v>0</v>
      </c>
      <c r="M8" s="1380"/>
      <c r="N8" s="1441">
        <v>0</v>
      </c>
      <c r="P8" s="4"/>
      <c r="Q8" s="59" t="s">
        <v>10</v>
      </c>
      <c r="R8" s="59"/>
      <c r="S8" s="59"/>
      <c r="T8" s="43"/>
      <c r="U8" s="1414">
        <v>1</v>
      </c>
      <c r="V8" s="1019"/>
      <c r="W8" s="1021"/>
      <c r="X8" s="59"/>
      <c r="Y8" s="10"/>
      <c r="Z8" s="59"/>
      <c r="AA8" s="541">
        <v>70</v>
      </c>
      <c r="AB8" s="542"/>
      <c r="AC8" s="577">
        <v>0</v>
      </c>
      <c r="AE8" s="4"/>
      <c r="AF8" s="59" t="s">
        <v>10</v>
      </c>
      <c r="AG8" s="59"/>
      <c r="AH8" s="59"/>
      <c r="AI8" s="43"/>
      <c r="AJ8" s="531" t="s">
        <v>1268</v>
      </c>
      <c r="AK8" s="59"/>
      <c r="AL8" s="59"/>
      <c r="AM8" s="10"/>
      <c r="AN8" s="4"/>
      <c r="AO8" s="553">
        <v>70</v>
      </c>
      <c r="AP8" s="554"/>
      <c r="AQ8" s="582">
        <v>0</v>
      </c>
      <c r="AS8" s="4"/>
      <c r="AT8" s="59" t="s">
        <v>10</v>
      </c>
      <c r="AU8" s="59"/>
      <c r="AV8" s="59"/>
      <c r="AW8" s="43"/>
      <c r="AX8" s="531" t="s">
        <v>11</v>
      </c>
      <c r="AY8" s="59"/>
      <c r="AZ8" s="59"/>
      <c r="BA8" s="10"/>
      <c r="BB8" s="4"/>
      <c r="BC8" s="553">
        <v>250</v>
      </c>
      <c r="BD8" s="554"/>
      <c r="BE8" s="555">
        <v>0</v>
      </c>
    </row>
    <row r="9" spans="1:57" x14ac:dyDescent="0.3">
      <c r="B9" s="12"/>
      <c r="C9" s="71" t="s">
        <v>16</v>
      </c>
      <c r="D9" s="71"/>
      <c r="E9" s="71"/>
      <c r="F9" s="71"/>
      <c r="G9" s="537" t="s">
        <v>41</v>
      </c>
      <c r="H9" s="71"/>
      <c r="I9" s="71" t="s">
        <v>17</v>
      </c>
      <c r="J9" s="480">
        <f>G10/G12</f>
        <v>0.69577714809186064</v>
      </c>
      <c r="K9" s="1048"/>
      <c r="L9" s="1375"/>
      <c r="M9" s="1380"/>
      <c r="N9" s="1441">
        <v>0</v>
      </c>
      <c r="P9" s="12"/>
      <c r="Q9" s="71" t="s">
        <v>16</v>
      </c>
      <c r="R9" s="71"/>
      <c r="S9" s="71"/>
      <c r="T9" s="71"/>
      <c r="U9" s="1245" t="s">
        <v>28</v>
      </c>
      <c r="V9" s="532"/>
      <c r="W9" s="71"/>
      <c r="X9" s="351" t="s">
        <v>17</v>
      </c>
      <c r="Y9" s="480">
        <f>U10/U12</f>
        <v>3.8243626062322948E-2</v>
      </c>
      <c r="Z9" s="178"/>
      <c r="AA9" s="541"/>
      <c r="AB9" s="542"/>
      <c r="AC9" s="577">
        <v>0</v>
      </c>
      <c r="AE9" s="12"/>
      <c r="AF9" s="71" t="s">
        <v>16</v>
      </c>
      <c r="AG9" s="71"/>
      <c r="AH9" s="71"/>
      <c r="AI9" s="71"/>
      <c r="AJ9" s="532" t="s">
        <v>28</v>
      </c>
      <c r="AK9" s="71"/>
      <c r="AL9" s="71" t="s">
        <v>17</v>
      </c>
      <c r="AM9" s="480">
        <f>AJ10/AJ12</f>
        <v>0.44554455445544555</v>
      </c>
      <c r="AN9" s="59"/>
      <c r="AO9" s="553"/>
      <c r="AP9" s="554"/>
      <c r="AQ9" s="582">
        <v>0</v>
      </c>
      <c r="AS9" s="12"/>
      <c r="AT9" s="71" t="s">
        <v>16</v>
      </c>
      <c r="AU9" s="71"/>
      <c r="AV9" s="71"/>
      <c r="AW9" s="71"/>
      <c r="AX9" s="532" t="s">
        <v>15</v>
      </c>
      <c r="AY9" s="71"/>
      <c r="AZ9" s="71" t="s">
        <v>17</v>
      </c>
      <c r="BA9" s="480">
        <f>AX10/AX12</f>
        <v>5.4618473895582333</v>
      </c>
      <c r="BB9" s="59"/>
      <c r="BC9" s="553">
        <v>0</v>
      </c>
      <c r="BD9" s="554"/>
      <c r="BE9" s="555">
        <v>0</v>
      </c>
    </row>
    <row r="10" spans="1:57" x14ac:dyDescent="0.3">
      <c r="B10" s="4"/>
      <c r="C10" s="59" t="s">
        <v>19</v>
      </c>
      <c r="D10" s="59"/>
      <c r="E10" s="59"/>
      <c r="F10" s="59"/>
      <c r="G10" s="1302">
        <f>ROUNDUP(L12,1)</f>
        <v>12.799999999999999</v>
      </c>
      <c r="H10" s="482"/>
      <c r="I10" s="59" t="s">
        <v>23</v>
      </c>
      <c r="J10" s="483">
        <f>G10/G16</f>
        <v>0.51978343440465036</v>
      </c>
      <c r="K10" s="1345"/>
      <c r="L10" s="1375">
        <v>68</v>
      </c>
      <c r="M10" s="1380"/>
      <c r="N10" s="1376">
        <v>440</v>
      </c>
      <c r="P10" s="4"/>
      <c r="Q10" s="59" t="s">
        <v>19</v>
      </c>
      <c r="R10" s="59"/>
      <c r="S10" s="59"/>
      <c r="T10" s="59"/>
      <c r="U10" s="1014">
        <f>IF(AA13=0,IF(AA12&gt;=100,ROUNDUP(AA12,0),ROUNDUP(AA12,1)),AA13)</f>
        <v>13.5</v>
      </c>
      <c r="V10" s="1017"/>
      <c r="W10" s="482"/>
      <c r="X10" s="168" t="s">
        <v>23</v>
      </c>
      <c r="Y10" s="483">
        <f>U10/U16</f>
        <v>6.9159836065573769E-3</v>
      </c>
      <c r="Z10" s="178"/>
      <c r="AA10" s="541">
        <v>155</v>
      </c>
      <c r="AB10" s="542"/>
      <c r="AC10" s="577">
        <f>X19</f>
        <v>205</v>
      </c>
      <c r="AE10" s="4"/>
      <c r="AF10" s="59" t="s">
        <v>19</v>
      </c>
      <c r="AG10" s="59"/>
      <c r="AH10" s="59"/>
      <c r="AI10" s="59"/>
      <c r="AJ10" s="481">
        <f>IF(AO13=0,IF(AO12&gt;=100,ROUNDUP(AO12,0),ROUNDUP(AO12,1)),AO13)</f>
        <v>13.5</v>
      </c>
      <c r="AK10" s="482"/>
      <c r="AL10" s="59" t="s">
        <v>23</v>
      </c>
      <c r="AM10" s="483">
        <f>AJ10/AJ16</f>
        <v>0.25</v>
      </c>
      <c r="AN10" s="178"/>
      <c r="AO10" s="553">
        <v>155</v>
      </c>
      <c r="AP10" s="554"/>
      <c r="AQ10" s="582">
        <v>540</v>
      </c>
      <c r="AS10" s="4"/>
      <c r="AT10" s="59" t="s">
        <v>19</v>
      </c>
      <c r="AU10" s="59"/>
      <c r="AV10" s="59"/>
      <c r="AW10" s="59"/>
      <c r="AX10" s="481">
        <f>IF(BC13=0,IF(BC12&gt;=100,ROUNDUP(BC12,0),ROUNDUP(BC12,1)),BC13)</f>
        <v>680</v>
      </c>
      <c r="AY10" s="482"/>
      <c r="AZ10" s="59" t="s">
        <v>23</v>
      </c>
      <c r="BA10" s="483">
        <f>AX10/AX16</f>
        <v>5.5737704918032787</v>
      </c>
      <c r="BB10" s="178"/>
      <c r="BC10" s="553">
        <v>520</v>
      </c>
      <c r="BD10" s="554"/>
      <c r="BE10" s="555">
        <f>AZ19</f>
        <v>555</v>
      </c>
    </row>
    <row r="11" spans="1:57" x14ac:dyDescent="0.3">
      <c r="B11" s="4"/>
      <c r="C11" s="59" t="s">
        <v>22</v>
      </c>
      <c r="D11" s="59"/>
      <c r="E11" s="59"/>
      <c r="F11" s="59"/>
      <c r="G11" s="1302">
        <f>N12</f>
        <v>91.983475133550002</v>
      </c>
      <c r="H11" s="59"/>
      <c r="I11" s="59"/>
      <c r="J11" s="18"/>
      <c r="K11" s="178"/>
      <c r="L11" s="1388">
        <f>VLOOKUP(G9,Данные!A3:I27,9,FALSE())</f>
        <v>7</v>
      </c>
      <c r="M11" s="1380"/>
      <c r="N11" s="1389">
        <f>L11</f>
        <v>7</v>
      </c>
      <c r="P11" s="4"/>
      <c r="Q11" s="59" t="s">
        <v>22</v>
      </c>
      <c r="R11" s="59"/>
      <c r="S11" s="59"/>
      <c r="T11" s="59"/>
      <c r="U11" s="1014">
        <f>IF(AC12&lt;100,ROUNDUP(AC12,1),ROUNDUP(AC12,0))</f>
        <v>353</v>
      </c>
      <c r="V11" s="1017"/>
      <c r="W11" s="17"/>
      <c r="X11" s="59"/>
      <c r="Y11" s="18"/>
      <c r="Z11" s="514"/>
      <c r="AA11" s="544">
        <f>VLOOKUP(U9,Данные!A3:I27,9,FALSE())</f>
        <v>7.5</v>
      </c>
      <c r="AB11" s="542"/>
      <c r="AC11" s="577">
        <f>AA11</f>
        <v>7.5</v>
      </c>
      <c r="AE11" s="4"/>
      <c r="AF11" s="59" t="s">
        <v>22</v>
      </c>
      <c r="AG11" s="59"/>
      <c r="AH11" s="59"/>
      <c r="AI11" s="59"/>
      <c r="AJ11" s="481">
        <f>IF(AQ12&lt;100,ROUNDUP(AQ12,1),ROUNDUP(AQ12,0))</f>
        <v>60.6</v>
      </c>
      <c r="AK11" s="59"/>
      <c r="AL11" s="59"/>
      <c r="AM11" s="18"/>
      <c r="AN11" s="178"/>
      <c r="AO11" s="557">
        <f>VLOOKUP(AJ9,Данные!A3:I27,9,FALSE())</f>
        <v>7.5</v>
      </c>
      <c r="AP11" s="554"/>
      <c r="AQ11" s="584">
        <f>AO11</f>
        <v>7.5</v>
      </c>
      <c r="AS11" s="4"/>
      <c r="AT11" s="59" t="s">
        <v>22</v>
      </c>
      <c r="AU11" s="59"/>
      <c r="AV11" s="59"/>
      <c r="AW11" s="59"/>
      <c r="AX11" s="481">
        <f>ROUNDUP(BE12,1)</f>
        <v>124.5</v>
      </c>
      <c r="AY11" s="59"/>
      <c r="AZ11" s="59"/>
      <c r="BA11" s="18"/>
      <c r="BB11" s="178"/>
      <c r="BC11" s="557">
        <f>VLOOKUP(AX9,Данные!A3:I27,9,FALSE())</f>
        <v>8.8800000000000008</v>
      </c>
      <c r="BD11" s="554"/>
      <c r="BE11" s="558">
        <f>BC11</f>
        <v>8.8800000000000008</v>
      </c>
    </row>
    <row r="12" spans="1:57" ht="15" thickBot="1" x14ac:dyDescent="0.35">
      <c r="B12" s="4"/>
      <c r="C12" s="59" t="s">
        <v>80</v>
      </c>
      <c r="D12" s="59"/>
      <c r="E12" s="59"/>
      <c r="F12" s="59"/>
      <c r="G12" s="1302">
        <f>G11/G17</f>
        <v>18.396695026709999</v>
      </c>
      <c r="H12" s="59"/>
      <c r="I12" s="59"/>
      <c r="J12" s="18"/>
      <c r="K12" s="514"/>
      <c r="L12" s="1390">
        <f>((L7*L7-L8*L8)*3.1415926*L10*L11+(L6*L6-L7*L7)*L9*L11*3.14)/4000000</f>
        <v>12.794999801465002</v>
      </c>
      <c r="M12" s="1385"/>
      <c r="N12" s="1391">
        <f>((N7*N7-N8*N8)*3.1415926*N10*N11+(N6*N6-N8*N8)*N9*N11*3.1415926)/4000000</f>
        <v>91.983475133550002</v>
      </c>
      <c r="P12" s="4"/>
      <c r="Q12" s="59" t="s">
        <v>80</v>
      </c>
      <c r="R12" s="59"/>
      <c r="S12" s="59"/>
      <c r="T12" s="59"/>
      <c r="U12" s="1014">
        <f>ROUNDUP(U11/U17,1)</f>
        <v>353</v>
      </c>
      <c r="V12" s="1018"/>
      <c r="W12" s="1021"/>
      <c r="X12" s="59"/>
      <c r="Y12" s="18"/>
      <c r="Z12" s="514"/>
      <c r="AA12" s="1408">
        <f>((AA7*AA7-AA8*AA8)*3.1415926*AA10*AA11+(AA6*AA6-AA7*AA7)*AA9*AA11*3.14)/4000000</f>
        <v>13.421472635812501</v>
      </c>
      <c r="AB12" s="545"/>
      <c r="AC12" s="578">
        <f>((AC7*AC7-AC8*AC8)*3.1415926*AC10*AC11+(AC6*AC6-AC7*AC7)*AC9*AC11*3.14)/4000000</f>
        <v>352.12147958025002</v>
      </c>
      <c r="AE12" s="4"/>
      <c r="AF12" s="59" t="s">
        <v>80</v>
      </c>
      <c r="AG12" s="59"/>
      <c r="AH12" s="59"/>
      <c r="AI12" s="59"/>
      <c r="AJ12" s="481">
        <f>AJ11/AJ17</f>
        <v>30.3</v>
      </c>
      <c r="AK12" s="59"/>
      <c r="AL12" s="59"/>
      <c r="AM12" s="18"/>
      <c r="AN12" s="514"/>
      <c r="AO12" s="559">
        <f>((AO7*AO7-AO8*AO8)*3.1415926*AO10*AO11+(AO6*AO6-AO7*AO7)*AO9*AO11*3.14)/4000000</f>
        <v>13.421472635812501</v>
      </c>
      <c r="AP12" s="560"/>
      <c r="AQ12" s="585">
        <f>((AQ7*AQ7-AQ8*AQ8)*3.1415926*AQ10*AQ11+(AQ6*AQ6-AQ7*AQ7)*AQ9*AQ11*3.14)/4000000</f>
        <v>60.576345592830002</v>
      </c>
      <c r="AS12" s="4"/>
      <c r="AT12" s="59" t="s">
        <v>80</v>
      </c>
      <c r="AU12" s="59"/>
      <c r="AV12" s="59"/>
      <c r="AW12" s="59"/>
      <c r="AX12" s="1302">
        <f>AX11/AX17</f>
        <v>124.5</v>
      </c>
      <c r="AY12" s="59"/>
      <c r="AZ12" s="59"/>
      <c r="BA12" s="18"/>
      <c r="BB12" s="514"/>
      <c r="BC12" s="559">
        <f>((BC7*BC7-BC8*BC8)*3.1415926*BC10*BC11+(BC6*BC6-BC7*BC7)*BC9*BC11*3.14)/4000000</f>
        <v>679.99771827000006</v>
      </c>
      <c r="BD12" s="560"/>
      <c r="BE12" s="561">
        <f>((BE7*BE7-BE8*BE8)*3.1415926*BE10*BE11+(BE6*BE6-BE7*BE7)*BE9*BE11*3.14)/4000000</f>
        <v>124.48524109362135</v>
      </c>
    </row>
    <row r="13" spans="1:57" ht="15" thickBot="1" x14ac:dyDescent="0.35">
      <c r="B13" s="4"/>
      <c r="C13" s="59" t="s">
        <v>27</v>
      </c>
      <c r="D13" s="59"/>
      <c r="E13" s="59"/>
      <c r="F13" s="59"/>
      <c r="G13" s="1302">
        <f>N25+N34</f>
        <v>118.39250246392801</v>
      </c>
      <c r="H13" s="59"/>
      <c r="I13" s="59"/>
      <c r="J13" s="18"/>
      <c r="K13" s="17"/>
      <c r="L13" s="1363"/>
      <c r="M13" s="1363"/>
      <c r="N13" s="1363"/>
      <c r="P13" s="4"/>
      <c r="Q13" s="59" t="s">
        <v>27</v>
      </c>
      <c r="R13" s="59"/>
      <c r="S13" s="59"/>
      <c r="T13" s="59"/>
      <c r="U13" s="1095">
        <f>IF(AC36&lt;100,ROUNDUP(AC36,1),ROUNDUP(AC36,0))</f>
        <v>1877</v>
      </c>
      <c r="V13" s="1018"/>
      <c r="W13" s="1021"/>
      <c r="X13" s="59"/>
      <c r="Y13" s="18"/>
      <c r="Z13" s="514"/>
      <c r="AA13" s="541"/>
      <c r="AB13" s="542"/>
      <c r="AC13" s="543"/>
      <c r="AE13" s="4"/>
      <c r="AF13" s="59" t="s">
        <v>27</v>
      </c>
      <c r="AG13" s="59"/>
      <c r="AH13" s="59"/>
      <c r="AI13" s="59"/>
      <c r="AJ13" s="481">
        <f>IF(AQ34&lt;100,ROUNDUP(AQ34,1),ROUNDUP(AQ34,0))</f>
        <v>103</v>
      </c>
      <c r="AK13" s="59"/>
      <c r="AL13" s="59"/>
      <c r="AM13" s="18"/>
      <c r="AN13" s="514"/>
      <c r="AO13" s="553"/>
      <c r="AP13" s="554"/>
      <c r="AQ13" s="558"/>
      <c r="AS13" s="4"/>
      <c r="AT13" s="59" t="s">
        <v>27</v>
      </c>
      <c r="AU13" s="59"/>
      <c r="AV13" s="59"/>
      <c r="AW13" s="59"/>
      <c r="AX13" s="481">
        <f>IF(BE34&lt;100,ROUNDUP(BE34,1),ROUNDUP(BE34,0))</f>
        <v>117</v>
      </c>
      <c r="AY13" s="59"/>
      <c r="AZ13" s="59"/>
      <c r="BA13" s="18"/>
      <c r="BB13" s="514"/>
      <c r="BC13" s="553"/>
      <c r="BD13" s="554"/>
      <c r="BE13" s="558"/>
    </row>
    <row r="14" spans="1:57" ht="15" thickBot="1" x14ac:dyDescent="0.35">
      <c r="B14" s="4"/>
      <c r="C14" s="59" t="s">
        <v>29</v>
      </c>
      <c r="D14" s="59"/>
      <c r="E14" s="59"/>
      <c r="F14" s="59"/>
      <c r="G14" s="1302">
        <f>G13/G17</f>
        <v>23.678500492785602</v>
      </c>
      <c r="H14" s="59"/>
      <c r="I14" s="59"/>
      <c r="J14" s="18"/>
      <c r="K14" s="514"/>
      <c r="L14" s="1377"/>
      <c r="M14" s="1378"/>
      <c r="N14" s="1366" t="s">
        <v>810</v>
      </c>
      <c r="P14" s="4"/>
      <c r="Q14" s="59" t="s">
        <v>29</v>
      </c>
      <c r="R14" s="59"/>
      <c r="S14" s="59"/>
      <c r="T14" s="59"/>
      <c r="U14" s="1014">
        <f>ROUNDUP(U13/U17,1)</f>
        <v>1877</v>
      </c>
      <c r="V14" s="1018"/>
      <c r="W14" s="1021"/>
      <c r="X14" s="59"/>
      <c r="Y14" s="18"/>
      <c r="Z14" s="514"/>
      <c r="AA14" s="538"/>
      <c r="AB14" s="542"/>
      <c r="AC14" s="1334" t="s">
        <v>810</v>
      </c>
      <c r="AE14" s="4"/>
      <c r="AF14" s="59" t="s">
        <v>29</v>
      </c>
      <c r="AG14" s="59"/>
      <c r="AH14" s="59"/>
      <c r="AI14" s="59"/>
      <c r="AJ14" s="481">
        <f>AJ13/AJ17</f>
        <v>51.5</v>
      </c>
      <c r="AK14" s="59"/>
      <c r="AL14" s="59"/>
      <c r="AM14" s="18"/>
      <c r="AN14" s="514"/>
      <c r="AO14" s="1002"/>
      <c r="AP14" s="563"/>
      <c r="AQ14" s="564"/>
      <c r="AS14" s="4"/>
      <c r="AT14" s="59" t="s">
        <v>29</v>
      </c>
      <c r="AU14" s="59"/>
      <c r="AV14" s="59"/>
      <c r="AW14" s="59"/>
      <c r="AX14" s="481">
        <f>AX13/AX17</f>
        <v>117</v>
      </c>
      <c r="AY14" s="59"/>
      <c r="AZ14" s="59"/>
      <c r="BA14" s="18"/>
      <c r="BB14" s="514"/>
      <c r="BC14" s="562"/>
      <c r="BD14" s="563"/>
      <c r="BE14" s="564"/>
    </row>
    <row r="15" spans="1:57" ht="15" thickBot="1" x14ac:dyDescent="0.35">
      <c r="B15" s="4"/>
      <c r="C15" s="59" t="s">
        <v>32</v>
      </c>
      <c r="D15" s="59"/>
      <c r="E15" s="59"/>
      <c r="F15" s="59"/>
      <c r="G15" s="1302">
        <f>G13*1.04</f>
        <v>123.12820256248513</v>
      </c>
      <c r="H15" s="59"/>
      <c r="I15" s="59"/>
      <c r="J15" s="18"/>
      <c r="K15" s="514"/>
      <c r="L15" s="1379"/>
      <c r="M15" s="1380"/>
      <c r="N15" s="1367" t="s">
        <v>776</v>
      </c>
      <c r="P15" s="4"/>
      <c r="Q15" s="59" t="s">
        <v>32</v>
      </c>
      <c r="R15" s="59"/>
      <c r="S15" s="59"/>
      <c r="T15" s="59"/>
      <c r="U15" s="1014">
        <f>IF(U13&lt;96,ROUNDUP(AC36*1.04,1),ROUNDUP(AC36*1.04,0))</f>
        <v>1952</v>
      </c>
      <c r="V15" s="1017"/>
      <c r="W15" s="1021"/>
      <c r="X15" s="59"/>
      <c r="Y15" s="18"/>
      <c r="Z15" s="514"/>
      <c r="AA15" s="605">
        <f>S32</f>
        <v>540</v>
      </c>
      <c r="AB15" s="542"/>
      <c r="AC15" s="1335" t="s">
        <v>813</v>
      </c>
      <c r="AE15" s="4"/>
      <c r="AF15" s="59" t="s">
        <v>32</v>
      </c>
      <c r="AG15" s="59"/>
      <c r="AH15" s="59"/>
      <c r="AI15" s="59"/>
      <c r="AJ15" s="481">
        <f>IF(AQ34&lt;96,ROUNDUP(AJ13*1.04,1),ROUNDUP(AJ13*1.04,0))</f>
        <v>108</v>
      </c>
      <c r="AK15" s="59"/>
      <c r="AL15" s="59"/>
      <c r="AM15" s="18"/>
      <c r="AN15" s="514"/>
      <c r="AO15" s="1001">
        <f>AH32</f>
        <v>160</v>
      </c>
      <c r="AP15" s="558"/>
      <c r="AQ15" s="580" t="s">
        <v>810</v>
      </c>
      <c r="AS15" s="4"/>
      <c r="AT15" s="59" t="s">
        <v>32</v>
      </c>
      <c r="AU15" s="59"/>
      <c r="AV15" s="59"/>
      <c r="AW15" s="59"/>
      <c r="AX15" s="481">
        <f>IF(BE34&lt;96,ROUNDUP(AX13*1.04,1),ROUNDUP(AX13*1.04,0))</f>
        <v>122</v>
      </c>
      <c r="AY15" s="59"/>
      <c r="AZ15" s="59"/>
      <c r="BA15" s="18"/>
      <c r="BB15" s="514"/>
      <c r="BC15" s="565"/>
      <c r="BD15" s="554"/>
      <c r="BE15" s="564" t="s">
        <v>810</v>
      </c>
    </row>
    <row r="16" spans="1:57" x14ac:dyDescent="0.3">
      <c r="B16" s="4"/>
      <c r="C16" s="59" t="s">
        <v>34</v>
      </c>
      <c r="D16" s="59"/>
      <c r="E16" s="59"/>
      <c r="F16" s="59"/>
      <c r="G16" s="1302">
        <f>G15/G17</f>
        <v>24.625640512497025</v>
      </c>
      <c r="H16" s="59"/>
      <c r="I16" s="59"/>
      <c r="J16" s="18"/>
      <c r="K16" s="514"/>
      <c r="L16" s="1379" t="s">
        <v>1185</v>
      </c>
      <c r="M16" s="1380"/>
      <c r="N16" s="1386">
        <f>(N7+(N7+N18*2))/2</f>
        <v>198</v>
      </c>
      <c r="P16" s="4"/>
      <c r="Q16" s="59" t="s">
        <v>34</v>
      </c>
      <c r="R16" s="59"/>
      <c r="S16" s="59"/>
      <c r="T16" s="59"/>
      <c r="U16" s="1014">
        <f>ROUNDUP(U15/U17,1)</f>
        <v>1952</v>
      </c>
      <c r="V16" s="1018"/>
      <c r="W16" s="1021"/>
      <c r="X16" s="59"/>
      <c r="Y16" s="18"/>
      <c r="Z16" s="514"/>
      <c r="AA16" s="1058">
        <v>540</v>
      </c>
      <c r="AB16" s="542"/>
      <c r="AC16" s="577">
        <v>0</v>
      </c>
      <c r="AE16" s="4"/>
      <c r="AF16" s="59" t="s">
        <v>34</v>
      </c>
      <c r="AG16" s="59"/>
      <c r="AH16" s="59"/>
      <c r="AI16" s="59"/>
      <c r="AJ16" s="481">
        <f>AJ15/AJ17</f>
        <v>54</v>
      </c>
      <c r="AK16" s="59"/>
      <c r="AL16" s="59"/>
      <c r="AM16" s="18"/>
      <c r="AN16" s="514"/>
      <c r="AO16" s="1405"/>
      <c r="AP16" s="558"/>
      <c r="AQ16" s="581" t="s">
        <v>826</v>
      </c>
      <c r="AS16" s="4"/>
      <c r="AT16" s="59" t="s">
        <v>34</v>
      </c>
      <c r="AU16" s="59"/>
      <c r="AV16" s="59"/>
      <c r="AW16" s="59"/>
      <c r="AX16" s="481">
        <f>AX15/AX17</f>
        <v>122</v>
      </c>
      <c r="AY16" s="59"/>
      <c r="AZ16" s="59"/>
      <c r="BA16" s="18"/>
      <c r="BB16" s="514"/>
      <c r="BC16" s="566">
        <f>AV32</f>
        <v>175</v>
      </c>
      <c r="BD16" s="554"/>
      <c r="BE16" s="552" t="s">
        <v>826</v>
      </c>
    </row>
    <row r="17" spans="2:57" ht="15" thickBot="1" x14ac:dyDescent="0.35">
      <c r="B17" s="19"/>
      <c r="C17" s="65" t="s">
        <v>36</v>
      </c>
      <c r="D17" s="65"/>
      <c r="E17" s="65"/>
      <c r="F17" s="65"/>
      <c r="G17" s="533">
        <v>5</v>
      </c>
      <c r="H17" s="65"/>
      <c r="I17" s="65"/>
      <c r="J17" s="1344"/>
      <c r="K17" s="514"/>
      <c r="L17" s="1379" t="s">
        <v>806</v>
      </c>
      <c r="M17" s="1380"/>
      <c r="N17" s="1387">
        <f>N10</f>
        <v>440</v>
      </c>
      <c r="P17" s="19"/>
      <c r="Q17" s="65" t="s">
        <v>36</v>
      </c>
      <c r="R17" s="65"/>
      <c r="S17" s="65"/>
      <c r="T17" s="65"/>
      <c r="U17" s="1015">
        <v>1</v>
      </c>
      <c r="V17" s="1015"/>
      <c r="W17" s="65"/>
      <c r="X17" s="65"/>
      <c r="Y17" s="1344"/>
      <c r="Z17" s="23"/>
      <c r="AA17" s="1208" t="e">
        <f>VLOOKUP(AA15,Стац.Болваны,2,FALSE)</f>
        <v>#N/A</v>
      </c>
      <c r="AB17" s="542"/>
      <c r="AC17" s="577">
        <f>AA18</f>
        <v>540</v>
      </c>
      <c r="AE17" s="19"/>
      <c r="AF17" s="65" t="s">
        <v>36</v>
      </c>
      <c r="AG17" s="65"/>
      <c r="AH17" s="65"/>
      <c r="AI17" s="65"/>
      <c r="AJ17" s="533">
        <v>2</v>
      </c>
      <c r="AK17" s="65"/>
      <c r="AL17" s="65"/>
      <c r="AM17" s="22"/>
      <c r="AN17" s="514"/>
      <c r="AO17" s="1001">
        <f>VLOOKUP(AH32,Стац.Болваны,2,FALSE)</f>
        <v>167</v>
      </c>
      <c r="AP17" s="554"/>
      <c r="AQ17" s="582">
        <v>0</v>
      </c>
      <c r="AS17" s="19"/>
      <c r="AT17" s="65" t="s">
        <v>36</v>
      </c>
      <c r="AU17" s="65"/>
      <c r="AV17" s="65"/>
      <c r="AW17" s="65"/>
      <c r="AX17" s="533">
        <v>1</v>
      </c>
      <c r="AY17" s="65"/>
      <c r="AZ17" s="65"/>
      <c r="BA17" s="22"/>
      <c r="BB17" s="514"/>
      <c r="BC17" s="566">
        <f>BC21/30+BC16</f>
        <v>183.66666666666666</v>
      </c>
      <c r="BD17" s="554"/>
      <c r="BE17" s="555">
        <v>0</v>
      </c>
    </row>
    <row r="18" spans="2:57" x14ac:dyDescent="0.3">
      <c r="B18" s="12"/>
      <c r="C18" s="60" t="s">
        <v>220</v>
      </c>
      <c r="D18" s="59"/>
      <c r="E18" s="59"/>
      <c r="F18" s="59"/>
      <c r="G18" s="59"/>
      <c r="H18" s="59"/>
      <c r="I18" s="23"/>
      <c r="J18" s="24"/>
      <c r="K18" s="23"/>
      <c r="L18" s="597" t="s">
        <v>1186</v>
      </c>
      <c r="M18" s="1380"/>
      <c r="N18" s="1387">
        <f>Данные!R199</f>
        <v>3</v>
      </c>
      <c r="P18" s="12"/>
      <c r="Q18" s="60" t="s">
        <v>220</v>
      </c>
      <c r="R18" s="59"/>
      <c r="S18" s="59"/>
      <c r="T18" s="59"/>
      <c r="U18" s="59"/>
      <c r="V18" s="59"/>
      <c r="W18" s="59"/>
      <c r="X18" s="23"/>
      <c r="Y18" s="24"/>
      <c r="Z18" s="23"/>
      <c r="AA18" s="579">
        <f>IF(AA16=0,(AA15+AA17)/2,(AA15+AA16)/2)</f>
        <v>540</v>
      </c>
      <c r="AB18" s="542"/>
      <c r="AC18" s="577">
        <v>0</v>
      </c>
      <c r="AE18" s="12"/>
      <c r="AF18" s="60" t="s">
        <v>220</v>
      </c>
      <c r="AG18" s="59"/>
      <c r="AH18" s="59"/>
      <c r="AI18" s="59"/>
      <c r="AJ18" s="59"/>
      <c r="AK18" s="59"/>
      <c r="AL18" s="23"/>
      <c r="AM18" s="24"/>
      <c r="AN18" s="23"/>
      <c r="AO18" s="1004">
        <f>(AO15+IF(AO16=0,AO17,AO16))/2</f>
        <v>163.5</v>
      </c>
      <c r="AP18" s="554"/>
      <c r="AQ18" s="583">
        <f>AO18</f>
        <v>163.5</v>
      </c>
      <c r="AS18" s="12"/>
      <c r="AT18" s="60" t="s">
        <v>220</v>
      </c>
      <c r="AU18" s="59"/>
      <c r="AV18" s="59"/>
      <c r="AW18" s="59"/>
      <c r="AX18" s="59"/>
      <c r="AY18" s="59"/>
      <c r="AZ18" s="23"/>
      <c r="BA18" s="24"/>
      <c r="BB18" s="23"/>
      <c r="BC18" s="565">
        <f>(BC16+BC17)/2</f>
        <v>179.33333333333331</v>
      </c>
      <c r="BD18" s="554"/>
      <c r="BE18" s="556">
        <f>BC18</f>
        <v>179.33333333333331</v>
      </c>
    </row>
    <row r="19" spans="2:57" ht="15" thickBot="1" x14ac:dyDescent="0.35">
      <c r="B19" s="4"/>
      <c r="C19" s="60" t="str">
        <f>"Максимальное количество деталей в отливке:   "&amp;G17&amp;",   L="</f>
        <v>Максимальное количество деталей в отливке:   5,   L=</v>
      </c>
      <c r="D19" s="59"/>
      <c r="E19" s="59"/>
      <c r="F19" s="59"/>
      <c r="G19" s="59"/>
      <c r="H19" s="1359">
        <f>N32</f>
        <v>430</v>
      </c>
      <c r="I19" s="484"/>
      <c r="J19" s="24"/>
      <c r="K19" s="23"/>
      <c r="L19" s="1381" t="s">
        <v>1187</v>
      </c>
      <c r="M19" s="1380"/>
      <c r="N19" s="1369">
        <v>3.5</v>
      </c>
      <c r="P19" s="4"/>
      <c r="Q19" s="60" t="str">
        <f>"Максимальное количество деталей в отливке:   "&amp;U17&amp;",   L="</f>
        <v>Максимальное количество деталей в отливке:   1,   L=</v>
      </c>
      <c r="R19" s="59"/>
      <c r="S19" s="59"/>
      <c r="T19" s="59"/>
      <c r="U19" s="59"/>
      <c r="V19" s="59"/>
      <c r="W19" s="43"/>
      <c r="X19" s="527">
        <f>IF(AC44=0,AC43,AC44)</f>
        <v>205</v>
      </c>
      <c r="Y19" s="24"/>
      <c r="Z19" s="23"/>
      <c r="AA19" s="577"/>
      <c r="AB19" s="542"/>
      <c r="AC19" s="577">
        <v>0</v>
      </c>
      <c r="AE19" s="4"/>
      <c r="AF19" s="60" t="str">
        <f>"Максимальное количество деталей в отливке:   "&amp;AJ17&amp;",   L="</f>
        <v>Максимальное количество деталей в отливке:   2,   L=</v>
      </c>
      <c r="AG19" s="59"/>
      <c r="AH19" s="59"/>
      <c r="AI19" s="59"/>
      <c r="AJ19" s="59"/>
      <c r="AK19" s="43"/>
      <c r="AL19" s="527">
        <f>AQ43</f>
        <v>365</v>
      </c>
      <c r="AM19" s="24"/>
      <c r="AN19" s="23"/>
      <c r="AO19" s="1003"/>
      <c r="AP19" s="554"/>
      <c r="AQ19" s="582">
        <v>0</v>
      </c>
      <c r="AS19" s="4"/>
      <c r="AT19" s="60" t="str">
        <f>"Максимальное количество деталей в отливке:   "&amp;AX17&amp;",   L="</f>
        <v>Максимальное количество деталей в отливке:   1,   L=</v>
      </c>
      <c r="AU19" s="59"/>
      <c r="AV19" s="59"/>
      <c r="AW19" s="59"/>
      <c r="AX19" s="59"/>
      <c r="AY19" s="43"/>
      <c r="AZ19" s="527">
        <f>IF(AX17=1,AZ28,BE43)</f>
        <v>555</v>
      </c>
      <c r="BA19" s="24"/>
      <c r="BB19" s="23"/>
      <c r="BC19" s="565"/>
      <c r="BD19" s="554"/>
      <c r="BE19" s="555">
        <v>0</v>
      </c>
    </row>
    <row r="20" spans="2:57" ht="15" customHeight="1" thickBot="1" x14ac:dyDescent="0.35">
      <c r="B20" s="4"/>
      <c r="C20" s="59"/>
      <c r="D20" s="59"/>
      <c r="E20" s="59"/>
      <c r="F20" s="59"/>
      <c r="G20" s="59"/>
      <c r="H20" s="59"/>
      <c r="I20" s="59"/>
      <c r="J20" s="10"/>
      <c r="K20" s="23"/>
      <c r="L20" s="597"/>
      <c r="M20" s="1380"/>
      <c r="N20" s="1368" t="s">
        <v>377</v>
      </c>
      <c r="P20" s="4"/>
      <c r="Q20" s="59"/>
      <c r="R20" s="59"/>
      <c r="S20" s="59"/>
      <c r="T20" s="59"/>
      <c r="U20" s="59"/>
      <c r="V20" s="59"/>
      <c r="W20" s="59"/>
      <c r="X20" s="59"/>
      <c r="Y20" s="10"/>
      <c r="Z20" s="23"/>
      <c r="AA20" s="577">
        <f>T32</f>
        <v>660</v>
      </c>
      <c r="AB20" s="542"/>
      <c r="AC20" s="577">
        <f>IF(OR(AA22=0,A1=TRUE),AA20,AA22)</f>
        <v>660</v>
      </c>
      <c r="AE20" s="4"/>
      <c r="AF20" s="59"/>
      <c r="AG20" s="59"/>
      <c r="AH20" s="59"/>
      <c r="AI20" s="59"/>
      <c r="AJ20" s="59"/>
      <c r="AK20" s="59"/>
      <c r="AL20" s="59"/>
      <c r="AM20" s="10"/>
      <c r="AN20" s="23"/>
      <c r="AO20" s="1003"/>
      <c r="AP20" s="554"/>
      <c r="AQ20" s="582">
        <v>0</v>
      </c>
      <c r="AS20" s="4"/>
      <c r="AT20" s="59"/>
      <c r="AU20" s="59"/>
      <c r="AV20" s="59"/>
      <c r="AW20" s="59"/>
      <c r="AX20" s="59"/>
      <c r="AY20" s="59"/>
      <c r="AZ20" s="59"/>
      <c r="BA20" s="10"/>
      <c r="BB20" s="23"/>
      <c r="BC20" s="565"/>
      <c r="BD20" s="554"/>
      <c r="BE20" s="555">
        <v>0</v>
      </c>
    </row>
    <row r="21" spans="2:57" ht="15" thickBot="1" x14ac:dyDescent="0.35">
      <c r="B21" s="4"/>
      <c r="C21" s="59"/>
      <c r="D21" s="59"/>
      <c r="E21" s="59"/>
      <c r="F21" s="59"/>
      <c r="G21" s="59"/>
      <c r="H21" s="59"/>
      <c r="I21" s="23"/>
      <c r="J21" s="24"/>
      <c r="K21" s="23"/>
      <c r="L21" s="597" t="s">
        <v>1189</v>
      </c>
      <c r="M21" s="1382"/>
      <c r="N21" s="1387">
        <f>N18*2</f>
        <v>6</v>
      </c>
      <c r="P21" s="4"/>
      <c r="Q21" s="59"/>
      <c r="R21" s="59"/>
      <c r="S21" s="59"/>
      <c r="T21" s="59"/>
      <c r="U21" s="59"/>
      <c r="V21" s="59"/>
      <c r="W21" s="59"/>
      <c r="X21" s="23"/>
      <c r="Y21" s="24"/>
      <c r="Z21" s="182"/>
      <c r="AA21" s="1415" t="s">
        <v>1150</v>
      </c>
      <c r="AB21" s="542"/>
      <c r="AC21" s="577">
        <f>AA11</f>
        <v>7.5</v>
      </c>
      <c r="AE21" s="4"/>
      <c r="AF21" s="59"/>
      <c r="AG21" s="59"/>
      <c r="AH21" s="59"/>
      <c r="AI21" s="59"/>
      <c r="AJ21" s="59"/>
      <c r="AK21" s="59"/>
      <c r="AL21" s="23"/>
      <c r="AM21" s="24"/>
      <c r="AN21" s="23"/>
      <c r="AO21" s="1003">
        <f>AI32</f>
        <v>400</v>
      </c>
      <c r="AP21" s="554"/>
      <c r="AQ21" s="582">
        <f>AI32</f>
        <v>400</v>
      </c>
      <c r="AS21" s="4"/>
      <c r="AT21" s="59"/>
      <c r="AU21" s="59"/>
      <c r="AV21" s="59"/>
      <c r="AW21" s="59"/>
      <c r="AX21" s="59"/>
      <c r="AY21" s="59"/>
      <c r="AZ21" s="23"/>
      <c r="BA21" s="24"/>
      <c r="BB21" s="23"/>
      <c r="BC21" s="565">
        <f>AW32</f>
        <v>260</v>
      </c>
      <c r="BD21" s="554"/>
      <c r="BE21" s="555">
        <f>AW32</f>
        <v>260</v>
      </c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8"/>
      <c r="J22" s="27"/>
      <c r="K22" s="182"/>
      <c r="L22" s="1379" t="s">
        <v>1188</v>
      </c>
      <c r="M22" s="1380"/>
      <c r="N22" s="1392">
        <f>((N7+N18*2)+((N7+N18*2)+N21*2))/2</f>
        <v>207</v>
      </c>
      <c r="P22" s="4"/>
      <c r="Q22" s="59"/>
      <c r="R22" s="59"/>
      <c r="S22" s="59"/>
      <c r="T22" s="59"/>
      <c r="U22" s="59"/>
      <c r="V22" s="59"/>
      <c r="W22" s="59"/>
      <c r="X22" s="28"/>
      <c r="Y22" s="27"/>
      <c r="Z22" s="182"/>
      <c r="AA22" s="1209"/>
      <c r="AB22" s="546"/>
      <c r="AC22" s="578">
        <f>((AC17*AC17-AC18*AC18)*3.1415926*AC20*AC21+(AC16*AC16-AC17*AC17)*AC19*AC21*3.14)/4000000</f>
        <v>1133.6593976730001</v>
      </c>
      <c r="AE22" s="4"/>
      <c r="AF22" s="59"/>
      <c r="AG22" s="59"/>
      <c r="AH22" s="59"/>
      <c r="AI22" s="59"/>
      <c r="AJ22" s="59"/>
      <c r="AK22" s="59"/>
      <c r="AL22" s="28"/>
      <c r="AM22" s="27"/>
      <c r="AN22" s="182"/>
      <c r="AO22" s="1003"/>
      <c r="AP22" s="554"/>
      <c r="AQ22" s="584">
        <f>AO11</f>
        <v>7.5</v>
      </c>
      <c r="AS22" s="4"/>
      <c r="AT22" s="59"/>
      <c r="AU22" s="59"/>
      <c r="AV22" s="59"/>
      <c r="AW22" s="59"/>
      <c r="AX22" s="59"/>
      <c r="AY22" s="59"/>
      <c r="AZ22" s="28"/>
      <c r="BA22" s="27"/>
      <c r="BB22" s="182"/>
      <c r="BC22" s="565"/>
      <c r="BD22" s="554"/>
      <c r="BE22" s="558">
        <f>BC11</f>
        <v>8.8800000000000008</v>
      </c>
    </row>
    <row r="23" spans="2:57" ht="15" thickBot="1" x14ac:dyDescent="0.35">
      <c r="B23" s="4"/>
      <c r="C23" s="485" t="s">
        <v>814</v>
      </c>
      <c r="D23" s="536">
        <f>ROUND(N7*0.985,0)</f>
        <v>192</v>
      </c>
      <c r="E23" s="59"/>
      <c r="F23" s="59"/>
      <c r="G23" s="59"/>
      <c r="H23" s="59"/>
      <c r="I23" s="29"/>
      <c r="J23" s="27"/>
      <c r="K23" s="182"/>
      <c r="L23" s="1379" t="s">
        <v>8</v>
      </c>
      <c r="M23" s="1380"/>
      <c r="N23" s="1370">
        <v>100</v>
      </c>
      <c r="P23" s="4"/>
      <c r="Q23" s="485" t="s">
        <v>814</v>
      </c>
      <c r="R23" s="486">
        <f>S32-S32/100*1.5</f>
        <v>531.9</v>
      </c>
      <c r="S23" s="59"/>
      <c r="T23" s="59"/>
      <c r="U23" s="59"/>
      <c r="V23" s="59"/>
      <c r="W23" s="59"/>
      <c r="X23" s="29"/>
      <c r="Y23" s="1211"/>
      <c r="Z23" s="182"/>
      <c r="AA23" s="43"/>
      <c r="AB23" s="43"/>
      <c r="AC23" s="43"/>
      <c r="AE23" s="4"/>
      <c r="AF23" s="485" t="s">
        <v>814</v>
      </c>
      <c r="AG23" s="486">
        <f>AH32-AH32/100*1.5</f>
        <v>157.6</v>
      </c>
      <c r="AH23" s="59"/>
      <c r="AI23" s="59"/>
      <c r="AJ23" s="59"/>
      <c r="AK23" s="59"/>
      <c r="AL23" s="29"/>
      <c r="AM23" s="1211"/>
      <c r="AN23" s="182"/>
      <c r="AO23" s="1003"/>
      <c r="AP23" s="554"/>
      <c r="AQ23" s="585">
        <f>((AQ18*AQ18-AQ19*AQ19)*3.1415926*AQ21*AQ22+(AQ17*AQ17-AQ18*AQ18)*AQ20*AQ22*3.1415926)/4000000</f>
        <v>62.986379086012498</v>
      </c>
      <c r="AS23" s="4"/>
      <c r="AT23" s="485" t="s">
        <v>814</v>
      </c>
      <c r="AU23" s="486">
        <f>AV32-AV32/100*1.5</f>
        <v>172.375</v>
      </c>
      <c r="AV23" s="59"/>
      <c r="AW23" s="59"/>
      <c r="AX23" s="59"/>
      <c r="AY23" s="59"/>
      <c r="AZ23" s="29"/>
      <c r="BA23" s="27"/>
      <c r="BB23" s="182"/>
      <c r="BC23" s="565"/>
      <c r="BD23" s="554"/>
      <c r="BE23" s="561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9"/>
      <c r="D24" s="535" t="str">
        <f>"( "&amp;L7&amp;" )"</f>
        <v>( 185 )</v>
      </c>
      <c r="E24" s="487"/>
      <c r="F24" s="59"/>
      <c r="G24" s="59"/>
      <c r="H24" s="59"/>
      <c r="I24" s="29"/>
      <c r="J24" s="27"/>
      <c r="K24" s="182"/>
      <c r="L24" s="1379"/>
      <c r="M24" s="1380"/>
      <c r="N24" s="1393">
        <f>L11</f>
        <v>7</v>
      </c>
      <c r="P24" s="4"/>
      <c r="Q24" s="59"/>
      <c r="R24" s="535" t="str">
        <f>"( "&amp;IF(AA6=0,AA7,AA6)&amp;" )"</f>
        <v>( 140 )</v>
      </c>
      <c r="S24" s="487"/>
      <c r="T24" s="59"/>
      <c r="U24" s="59"/>
      <c r="V24" s="59"/>
      <c r="W24" s="59"/>
      <c r="X24" s="29"/>
      <c r="Y24" s="27"/>
      <c r="Z24" s="182"/>
      <c r="AA24" s="1090" t="s">
        <v>838</v>
      </c>
      <c r="AB24" s="1072"/>
      <c r="AC24" s="1417" t="s">
        <v>847</v>
      </c>
      <c r="AE24" s="4"/>
      <c r="AF24" s="59"/>
      <c r="AG24" s="535" t="str">
        <f>"( "&amp;AO7&amp;" )"</f>
        <v>( 140 )</v>
      </c>
      <c r="AH24" s="487"/>
      <c r="AI24" s="59"/>
      <c r="AJ24" s="59"/>
      <c r="AK24" s="59"/>
      <c r="AL24" s="29"/>
      <c r="AM24" s="27"/>
      <c r="AN24" s="182"/>
      <c r="AO24" s="1002"/>
      <c r="AP24" s="563"/>
      <c r="AQ24" s="567"/>
      <c r="AS24" s="4"/>
      <c r="AT24" s="59"/>
      <c r="AU24" s="535" t="str">
        <f>"( "&amp;BC7&amp;" )"</f>
        <v>( 500 )</v>
      </c>
      <c r="AV24" s="487"/>
      <c r="AW24" s="59"/>
      <c r="AX24" s="59"/>
      <c r="AY24" s="59"/>
      <c r="AZ24" s="29"/>
      <c r="BA24" s="27"/>
      <c r="BB24" s="182"/>
      <c r="BC24" s="562"/>
      <c r="BD24" s="563"/>
      <c r="BE24" s="567"/>
    </row>
    <row r="25" spans="2:57" ht="15" thickBot="1" x14ac:dyDescent="0.35">
      <c r="B25" s="4"/>
      <c r="C25" s="59"/>
      <c r="D25" s="168"/>
      <c r="E25" s="59"/>
      <c r="F25" s="59"/>
      <c r="G25" s="59"/>
      <c r="H25" s="59"/>
      <c r="I25" s="29"/>
      <c r="J25" s="27"/>
      <c r="K25" s="182"/>
      <c r="L25" s="1783"/>
      <c r="M25" s="1784"/>
      <c r="N25" s="1394">
        <f>((N16*N16)*3.1415926*N17*N24+(N22*N22)*N23*N24*3.1415296)/4000000</f>
        <v>118.39250246392801</v>
      </c>
      <c r="P25" s="4"/>
      <c r="Q25" s="59"/>
      <c r="R25" s="335"/>
      <c r="S25" s="59"/>
      <c r="T25" s="59"/>
      <c r="U25" s="59"/>
      <c r="V25" s="59"/>
      <c r="W25" s="59"/>
      <c r="X25" s="29"/>
      <c r="Y25" s="27"/>
      <c r="Z25" s="182"/>
      <c r="AA25" s="600" t="s">
        <v>1203</v>
      </c>
      <c r="AB25" s="601" t="b">
        <v>0</v>
      </c>
      <c r="AC25" s="602"/>
      <c r="AE25" s="4"/>
      <c r="AF25" s="59"/>
      <c r="AG25" s="168"/>
      <c r="AH25" s="59"/>
      <c r="AI25" s="59"/>
      <c r="AJ25" s="59"/>
      <c r="AK25" s="59"/>
      <c r="AL25" s="29"/>
      <c r="AM25" s="27"/>
      <c r="AN25" s="182"/>
      <c r="AO25" s="586"/>
      <c r="AP25" s="563"/>
      <c r="AQ25" s="580" t="s">
        <v>810</v>
      </c>
      <c r="AS25" s="4"/>
      <c r="AT25" s="59"/>
      <c r="AU25" s="168"/>
      <c r="AV25" s="59"/>
      <c r="AW25" s="59"/>
      <c r="AX25" s="59"/>
      <c r="AY25" s="59"/>
      <c r="AZ25" s="29"/>
      <c r="BA25" s="27"/>
      <c r="BB25" s="182"/>
      <c r="BC25" s="562"/>
      <c r="BD25" s="563"/>
      <c r="BE25" s="564" t="s">
        <v>810</v>
      </c>
    </row>
    <row r="26" spans="2:57" ht="15" customHeight="1" x14ac:dyDescent="0.3">
      <c r="B26" s="4"/>
      <c r="C26" s="59"/>
      <c r="D26" s="59"/>
      <c r="E26" s="59"/>
      <c r="F26" s="59"/>
      <c r="G26" s="489">
        <f>N10*0.985</f>
        <v>433.4</v>
      </c>
      <c r="H26" s="59"/>
      <c r="I26" s="1346" t="str">
        <f>"         "&amp;ROUND(N23*0.985,0)</f>
        <v xml:space="preserve">         99</v>
      </c>
      <c r="J26" s="27"/>
      <c r="K26" s="182"/>
      <c r="P26" s="4"/>
      <c r="Q26" s="59"/>
      <c r="R26" s="59"/>
      <c r="S26" s="59"/>
      <c r="T26" s="59"/>
      <c r="U26" s="489">
        <f>T34*0.985</f>
        <v>650.1</v>
      </c>
      <c r="V26" s="489"/>
      <c r="W26" s="59"/>
      <c r="X26" s="29"/>
      <c r="Y26" s="27"/>
      <c r="Z26" s="182"/>
      <c r="AA26" s="590"/>
      <c r="AB26" s="591"/>
      <c r="AC26" s="1334" t="s">
        <v>810</v>
      </c>
      <c r="AE26" s="4"/>
      <c r="AF26" s="59"/>
      <c r="AG26" s="59"/>
      <c r="AH26" s="59"/>
      <c r="AI26" s="59"/>
      <c r="AJ26" s="489">
        <f>AI34*0.985</f>
        <v>650.1</v>
      </c>
      <c r="AK26" s="59"/>
      <c r="AL26" s="29"/>
      <c r="AM26" s="27"/>
      <c r="AN26" s="182"/>
      <c r="AO26" s="587">
        <f>AH33</f>
        <v>157.5</v>
      </c>
      <c r="AP26" s="563"/>
      <c r="AQ26" s="581" t="s">
        <v>828</v>
      </c>
      <c r="AS26" s="4"/>
      <c r="AT26" s="59"/>
      <c r="AU26" s="59"/>
      <c r="AV26" s="59"/>
      <c r="AW26" s="59"/>
      <c r="AX26" s="489">
        <f>AW34*0.985</f>
        <v>512.20000000000005</v>
      </c>
      <c r="AY26" s="59"/>
      <c r="AZ26" s="29"/>
      <c r="BA26" s="27"/>
      <c r="BB26" s="182"/>
      <c r="BC26" s="568">
        <f>AV33</f>
        <v>175</v>
      </c>
      <c r="BD26" s="563"/>
      <c r="BE26" s="552" t="s">
        <v>828</v>
      </c>
    </row>
    <row r="27" spans="2:57" ht="15" thickBot="1" x14ac:dyDescent="0.35">
      <c r="B27" s="4"/>
      <c r="C27" s="59"/>
      <c r="D27" s="31"/>
      <c r="E27" s="32"/>
      <c r="G27" s="535" t="str">
        <f>"( "&amp;L10&amp;" )"</f>
        <v>( 68 )</v>
      </c>
      <c r="H27" s="59"/>
      <c r="I27" s="30"/>
      <c r="J27" s="27"/>
      <c r="K27" s="182"/>
      <c r="L27" s="1641" t="s">
        <v>329</v>
      </c>
      <c r="M27" s="1774"/>
      <c r="N27" s="1642"/>
      <c r="P27" s="4"/>
      <c r="Q27" s="59"/>
      <c r="R27" s="31"/>
      <c r="S27" s="32"/>
      <c r="T27" s="43"/>
      <c r="U27" s="536" t="str">
        <f>"( "&amp;AA10&amp;" )"</f>
        <v>( 155 )</v>
      </c>
      <c r="V27" s="536"/>
      <c r="W27" s="166"/>
      <c r="X27" s="30"/>
      <c r="Y27" s="27"/>
      <c r="Z27" s="182"/>
      <c r="AA27" s="592">
        <f>VLOOKUP(AC24,Q57:W62,4,FALSE())</f>
        <v>360</v>
      </c>
      <c r="AB27" s="593"/>
      <c r="AC27" s="1335" t="s">
        <v>849</v>
      </c>
      <c r="AE27" s="4"/>
      <c r="AF27" s="59"/>
      <c r="AG27" s="31"/>
      <c r="AH27" s="32"/>
      <c r="AI27" s="43"/>
      <c r="AJ27" s="536" t="str">
        <f>"( "&amp;AO10&amp;" )"</f>
        <v>( 155 )</v>
      </c>
      <c r="AK27" s="59"/>
      <c r="AL27" s="30"/>
      <c r="AM27" s="27"/>
      <c r="AN27" s="182"/>
      <c r="AO27" s="587">
        <f>AO31/60+AO26</f>
        <v>161.83333333333334</v>
      </c>
      <c r="AP27" s="563"/>
      <c r="AQ27" s="582">
        <v>0</v>
      </c>
      <c r="AS27" s="4"/>
      <c r="AT27" s="59"/>
      <c r="AU27" s="31"/>
      <c r="AV27" s="32"/>
      <c r="AW27" s="43"/>
      <c r="AX27" s="536" t="str">
        <f>"( "&amp;BC10&amp;" )"</f>
        <v>( 520 )</v>
      </c>
      <c r="AY27" s="59"/>
      <c r="AZ27" s="30"/>
      <c r="BA27" s="27"/>
      <c r="BB27" s="182"/>
      <c r="BC27" s="568">
        <f>BC31/30+BC26</f>
        <v>183.66666666666666</v>
      </c>
      <c r="BD27" s="563"/>
      <c r="BE27" s="555">
        <v>0</v>
      </c>
    </row>
    <row r="28" spans="2:57" x14ac:dyDescent="0.3">
      <c r="B28" s="4"/>
      <c r="C28" s="59"/>
      <c r="E28" s="59"/>
      <c r="F28" s="168"/>
      <c r="J28" s="27"/>
      <c r="K28" s="182"/>
      <c r="L28" s="1782" t="s">
        <v>1094</v>
      </c>
      <c r="M28" s="1738"/>
      <c r="N28" s="1148">
        <f>L10</f>
        <v>68</v>
      </c>
      <c r="P28" s="4"/>
      <c r="Q28" s="59"/>
      <c r="R28" s="43"/>
      <c r="S28" s="59"/>
      <c r="T28" s="168"/>
      <c r="U28" s="43" t="s">
        <v>815</v>
      </c>
      <c r="W28" s="59"/>
      <c r="X28" s="484">
        <f>AC39+AC42</f>
        <v>205</v>
      </c>
      <c r="Y28" s="27"/>
      <c r="Z28" s="182"/>
      <c r="AA28" s="592">
        <f>VLOOKUP(AC24,Q57:W62,3,FALSE())</f>
        <v>620</v>
      </c>
      <c r="AB28" s="593"/>
      <c r="AC28" s="595">
        <v>0</v>
      </c>
      <c r="AE28" s="4"/>
      <c r="AF28" s="59"/>
      <c r="AG28" s="43"/>
      <c r="AH28" s="59"/>
      <c r="AI28" s="168"/>
      <c r="AJ28" s="43" t="s">
        <v>815</v>
      </c>
      <c r="AK28" s="59"/>
      <c r="AL28" s="484">
        <f>AQ39+AQ42</f>
        <v>190</v>
      </c>
      <c r="AM28" s="27"/>
      <c r="AN28" s="182"/>
      <c r="AO28" s="584">
        <f>(AO26+AO27)/2</f>
        <v>159.66666666666669</v>
      </c>
      <c r="AP28" s="563"/>
      <c r="AQ28" s="583">
        <f>AO28</f>
        <v>159.66666666666669</v>
      </c>
      <c r="AS28" s="4"/>
      <c r="AT28" s="59"/>
      <c r="AU28" s="43"/>
      <c r="AV28" s="59"/>
      <c r="AW28" s="168"/>
      <c r="AX28" s="43" t="s">
        <v>815</v>
      </c>
      <c r="AY28" s="59"/>
      <c r="AZ28" s="484">
        <f>BE39+BE42</f>
        <v>555</v>
      </c>
      <c r="BA28" s="27"/>
      <c r="BB28" s="182"/>
      <c r="BC28" s="565">
        <f>(BC26+BC27)/2</f>
        <v>179.33333333333331</v>
      </c>
      <c r="BD28" s="563"/>
      <c r="BE28" s="556">
        <f>BC28</f>
        <v>179.33333333333331</v>
      </c>
    </row>
    <row r="29" spans="2:57" ht="15" thickBot="1" x14ac:dyDescent="0.35">
      <c r="B29" s="4"/>
      <c r="C29" s="59"/>
      <c r="D29" s="488"/>
      <c r="G29" s="1443" t="s">
        <v>815</v>
      </c>
      <c r="H29" s="183"/>
      <c r="I29" s="1444">
        <f>L10+N31</f>
        <v>108</v>
      </c>
      <c r="J29" s="10"/>
      <c r="K29" s="182"/>
      <c r="L29" s="1782" t="s">
        <v>1095</v>
      </c>
      <c r="M29" s="1738"/>
      <c r="N29" s="1148">
        <f>G17</f>
        <v>5</v>
      </c>
      <c r="P29" s="4"/>
      <c r="Q29" s="77" t="str">
        <f>IF(AB25=TRUE,"Заливка прибыли на 1/2","")</f>
        <v/>
      </c>
      <c r="R29" s="488"/>
      <c r="S29" s="43"/>
      <c r="T29" s="43"/>
      <c r="U29" s="43"/>
      <c r="W29" s="43"/>
      <c r="X29" s="43"/>
      <c r="Y29" s="10"/>
      <c r="Z29" s="182"/>
      <c r="AA29" s="596">
        <f>(AA27+AA28)/2</f>
        <v>490</v>
      </c>
      <c r="AB29" s="593"/>
      <c r="AC29" s="595">
        <f>AA29</f>
        <v>490</v>
      </c>
      <c r="AE29" s="4"/>
      <c r="AF29" s="59"/>
      <c r="AG29" s="488"/>
      <c r="AH29" s="43"/>
      <c r="AI29" s="43"/>
      <c r="AJ29" s="43"/>
      <c r="AK29" s="43"/>
      <c r="AL29" s="43"/>
      <c r="AM29" s="10"/>
      <c r="AN29" s="182"/>
      <c r="AO29" s="584"/>
      <c r="AP29" s="563"/>
      <c r="AQ29" s="582">
        <v>0</v>
      </c>
      <c r="AS29" s="4"/>
      <c r="AT29" s="59"/>
      <c r="AU29" s="488"/>
      <c r="AV29" s="43"/>
      <c r="AW29" s="43"/>
      <c r="AX29" s="43"/>
      <c r="AY29" s="43"/>
      <c r="AZ29" s="43"/>
      <c r="BA29" s="10"/>
      <c r="BB29" s="182"/>
      <c r="BC29" s="565"/>
      <c r="BD29" s="563"/>
      <c r="BE29" s="555">
        <v>0</v>
      </c>
    </row>
    <row r="30" spans="2:57" ht="15" thickBot="1" x14ac:dyDescent="0.35">
      <c r="B30" s="4"/>
      <c r="C30" s="77" t="s">
        <v>1219</v>
      </c>
      <c r="D30" s="488"/>
      <c r="G30" s="488"/>
      <c r="H30" s="59"/>
      <c r="I30" s="484"/>
      <c r="J30" s="10"/>
      <c r="K30" s="182"/>
      <c r="L30" s="1782" t="s">
        <v>1096</v>
      </c>
      <c r="M30" s="1738"/>
      <c r="N30" s="1148">
        <f>IF(D23&lt;100,8,IF(AND(D23&gt;=100,D23&lt;200),10,20))</f>
        <v>10</v>
      </c>
      <c r="P30" s="1570" t="s">
        <v>816</v>
      </c>
      <c r="Q30" s="1643"/>
      <c r="R30" s="1643"/>
      <c r="S30" s="1643"/>
      <c r="T30" s="1643"/>
      <c r="U30" s="1643"/>
      <c r="V30" s="1643"/>
      <c r="W30" s="1643"/>
      <c r="X30" s="1643"/>
      <c r="Y30" s="1571"/>
      <c r="Z30" s="182"/>
      <c r="AA30" s="597"/>
      <c r="AB30" s="593"/>
      <c r="AC30" s="595">
        <v>0</v>
      </c>
      <c r="AE30" s="1570" t="s">
        <v>816</v>
      </c>
      <c r="AF30" s="1643"/>
      <c r="AG30" s="1643"/>
      <c r="AH30" s="1643"/>
      <c r="AI30" s="1643"/>
      <c r="AJ30" s="1643"/>
      <c r="AK30" s="1643"/>
      <c r="AL30" s="1643"/>
      <c r="AM30" s="1571"/>
      <c r="AN30" s="182"/>
      <c r="AO30" s="584"/>
      <c r="AP30" s="563"/>
      <c r="AQ30" s="582">
        <v>0</v>
      </c>
      <c r="AS30" s="1570" t="s">
        <v>816</v>
      </c>
      <c r="AT30" s="1643"/>
      <c r="AU30" s="1643"/>
      <c r="AV30" s="1643"/>
      <c r="AW30" s="1643"/>
      <c r="AX30" s="1643"/>
      <c r="AY30" s="1643"/>
      <c r="AZ30" s="1643"/>
      <c r="BA30" s="1571"/>
      <c r="BB30" s="182"/>
      <c r="BC30" s="565"/>
      <c r="BD30" s="563"/>
      <c r="BE30" s="555">
        <v>0</v>
      </c>
    </row>
    <row r="31" spans="2:57" ht="15" thickBot="1" x14ac:dyDescent="0.35">
      <c r="B31" s="1570" t="s">
        <v>816</v>
      </c>
      <c r="C31" s="1643"/>
      <c r="D31" s="1643"/>
      <c r="E31" s="1643"/>
      <c r="F31" s="1643"/>
      <c r="G31" s="1643"/>
      <c r="H31" s="1643"/>
      <c r="I31" s="1643"/>
      <c r="J31" s="1571"/>
      <c r="K31" s="182"/>
      <c r="L31" s="1782" t="s">
        <v>1021</v>
      </c>
      <c r="M31" s="1738"/>
      <c r="N31" s="1148">
        <f>IF(D23&lt;100,35,IF(AND(D23&gt;=100,D23&lt;200),40,50))</f>
        <v>40</v>
      </c>
      <c r="P31" s="526"/>
      <c r="Q31" s="55" t="s">
        <v>279</v>
      </c>
      <c r="R31" s="55"/>
      <c r="S31" s="571" t="s">
        <v>203</v>
      </c>
      <c r="T31" s="491" t="s">
        <v>88</v>
      </c>
      <c r="U31" s="492" t="s">
        <v>4</v>
      </c>
      <c r="V31" s="1016"/>
      <c r="W31" s="80"/>
      <c r="X31" s="493" t="s">
        <v>817</v>
      </c>
      <c r="Y31" s="525" t="s">
        <v>280</v>
      </c>
      <c r="Z31" s="182"/>
      <c r="AA31" s="597"/>
      <c r="AB31" s="593"/>
      <c r="AC31" s="595">
        <v>0</v>
      </c>
      <c r="AE31" s="526"/>
      <c r="AF31" s="55" t="s">
        <v>279</v>
      </c>
      <c r="AG31" s="55"/>
      <c r="AH31" s="490" t="s">
        <v>203</v>
      </c>
      <c r="AI31" s="491" t="s">
        <v>88</v>
      </c>
      <c r="AJ31" s="1753" t="s">
        <v>830</v>
      </c>
      <c r="AK31" s="1754"/>
      <c r="AL31" s="1755"/>
      <c r="AM31" s="525" t="s">
        <v>280</v>
      </c>
      <c r="AN31" s="182"/>
      <c r="AO31" s="584">
        <f>AI33</f>
        <v>260</v>
      </c>
      <c r="AP31" s="563"/>
      <c r="AQ31" s="582">
        <f>AO31</f>
        <v>260</v>
      </c>
      <c r="AS31" s="526"/>
      <c r="AT31" s="55" t="s">
        <v>279</v>
      </c>
      <c r="AU31" s="55"/>
      <c r="AV31" s="490" t="s">
        <v>203</v>
      </c>
      <c r="AW31" s="491" t="s">
        <v>88</v>
      </c>
      <c r="AX31" s="1753" t="s">
        <v>830</v>
      </c>
      <c r="AY31" s="1754"/>
      <c r="AZ31" s="1755"/>
      <c r="BA31" s="525" t="s">
        <v>280</v>
      </c>
      <c r="BB31" s="182"/>
      <c r="BC31" s="565">
        <f>AW33</f>
        <v>260</v>
      </c>
      <c r="BD31" s="563"/>
      <c r="BE31" s="555">
        <f>BC31</f>
        <v>260</v>
      </c>
    </row>
    <row r="32" spans="2:57" x14ac:dyDescent="0.3">
      <c r="B32" s="526"/>
      <c r="C32" s="1347" t="s">
        <v>49</v>
      </c>
      <c r="D32" s="55"/>
      <c r="E32" s="892"/>
      <c r="F32" s="1348"/>
      <c r="G32" s="947" t="str">
        <f>VLOOKUP(G9,Данные!A3:I27,6,FALSE())</f>
        <v>250010.00001</v>
      </c>
      <c r="H32" s="59"/>
      <c r="I32" s="55"/>
      <c r="J32" s="1349"/>
      <c r="K32" s="182"/>
      <c r="L32" s="43"/>
      <c r="M32" s="43"/>
      <c r="N32" s="1149">
        <f>IF(N29=1,N28+N31,N28*N29+N30*N29+N31)</f>
        <v>430</v>
      </c>
      <c r="P32" s="494"/>
      <c r="Q32" s="572" t="s">
        <v>818</v>
      </c>
      <c r="R32" s="427"/>
      <c r="S32" s="534">
        <v>540</v>
      </c>
      <c r="T32" s="495">
        <v>660</v>
      </c>
      <c r="U32" s="1771" t="e">
        <f>VLOOKUP(S32,Данные!AD79:AH1155,5,FALSE)</f>
        <v>#N/A</v>
      </c>
      <c r="V32" s="1772"/>
      <c r="W32" s="1773"/>
      <c r="X32" s="63"/>
      <c r="Y32" s="496"/>
      <c r="Z32" s="182"/>
      <c r="AA32" s="597">
        <f>VLOOKUP(AC24,Q57:W62,7,FALSE())</f>
        <v>525</v>
      </c>
      <c r="AB32" s="593"/>
      <c r="AC32" s="595">
        <f>AA32</f>
        <v>525</v>
      </c>
      <c r="AE32" s="494"/>
      <c r="AF32" s="99" t="s">
        <v>818</v>
      </c>
      <c r="AG32" s="427"/>
      <c r="AH32" s="534">
        <v>160</v>
      </c>
      <c r="AI32" s="522">
        <v>400</v>
      </c>
      <c r="AJ32" s="1756"/>
      <c r="AK32" s="1757"/>
      <c r="AL32" s="1758"/>
      <c r="AM32" s="496"/>
      <c r="AN32" s="182"/>
      <c r="AO32" s="588"/>
      <c r="AP32" s="563"/>
      <c r="AQ32" s="584">
        <f>AO11</f>
        <v>7.5</v>
      </c>
      <c r="AS32" s="494"/>
      <c r="AT32" s="71" t="s">
        <v>827</v>
      </c>
      <c r="AU32" s="427"/>
      <c r="AV32" s="534">
        <v>175</v>
      </c>
      <c r="AW32" s="522">
        <v>260</v>
      </c>
      <c r="AX32" s="1756" t="str">
        <f>VLOOKUP(AV32,Данные!AD79:AH1155,5,FALSE())</f>
        <v>72.11870 - 15</v>
      </c>
      <c r="AY32" s="1757"/>
      <c r="AZ32" s="1758"/>
      <c r="BA32" s="496"/>
      <c r="BB32" s="182"/>
      <c r="BC32" s="562"/>
      <c r="BD32" s="563"/>
      <c r="BE32" s="558">
        <f>BC11</f>
        <v>8.8800000000000008</v>
      </c>
    </row>
    <row r="33" spans="2:58" ht="15" thickBot="1" x14ac:dyDescent="0.35">
      <c r="B33" s="1350"/>
      <c r="C33" s="1347" t="s">
        <v>51</v>
      </c>
      <c r="D33" s="46"/>
      <c r="E33" s="1351"/>
      <c r="F33" s="1352"/>
      <c r="G33" s="168" t="s">
        <v>819</v>
      </c>
      <c r="H33" s="1353"/>
      <c r="I33" s="30"/>
      <c r="J33" s="1349"/>
      <c r="K33" s="182"/>
      <c r="P33" s="19"/>
      <c r="Q33" s="497" t="str">
        <f>IF(A1=FALSE,"Без приб.надставки","Прибыль ")</f>
        <v xml:space="preserve">Прибыль </v>
      </c>
      <c r="R33" s="40"/>
      <c r="S33" s="573"/>
      <c r="T33" s="798"/>
      <c r="U33" s="1731" t="str">
        <f>IF(A1=TRUE,AC24,"")</f>
        <v>И-335</v>
      </c>
      <c r="V33" s="1647"/>
      <c r="W33" s="1732"/>
      <c r="X33" s="498"/>
      <c r="Y33" s="499"/>
      <c r="Z33" s="182"/>
      <c r="AA33" s="597"/>
      <c r="AB33" s="593"/>
      <c r="AC33" s="594">
        <f>AA11</f>
        <v>7.5</v>
      </c>
      <c r="AE33" s="19"/>
      <c r="AF33" s="65" t="s">
        <v>827</v>
      </c>
      <c r="AG33" s="40"/>
      <c r="AH33" s="523">
        <v>157.5</v>
      </c>
      <c r="AI33" s="523">
        <v>260</v>
      </c>
      <c r="AJ33" s="1734" t="str">
        <f>VLOOKUP(AH33,Данные!AD79:AH1155,5,FALSE)</f>
        <v>72.11870 - 8</v>
      </c>
      <c r="AK33" s="1735"/>
      <c r="AL33" s="1736"/>
      <c r="AM33" s="524"/>
      <c r="AN33" s="182"/>
      <c r="AO33" s="589"/>
      <c r="AP33" s="569"/>
      <c r="AQ33" s="585">
        <f>((AQ28*AQ28-AQ29*AQ29)*3.1415926*AQ31*AQ32+(AQ27*AQ27-AQ28*AQ28)*AQ30*AQ32*3.14)/4000000</f>
        <v>39.04388300239917</v>
      </c>
      <c r="AS33" s="19"/>
      <c r="AT33" s="65" t="s">
        <v>827</v>
      </c>
      <c r="AU33" s="40"/>
      <c r="AV33" s="523">
        <v>175</v>
      </c>
      <c r="AW33" s="523">
        <v>260</v>
      </c>
      <c r="AX33" s="1734" t="str">
        <f>VLOOKUP(AV33,Данные!AD79:AH1155,5,FALSE)</f>
        <v>72.11870 - 15</v>
      </c>
      <c r="AY33" s="1735"/>
      <c r="AZ33" s="1736"/>
      <c r="BA33" s="524"/>
      <c r="BB33" s="182"/>
      <c r="BC33" s="562"/>
      <c r="BD33" s="563"/>
      <c r="BE33" s="561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347" t="s">
        <v>1190</v>
      </c>
      <c r="D34" s="55"/>
      <c r="E34" s="1354"/>
      <c r="F34" s="1352"/>
      <c r="G34" s="1440" t="str">
        <f>_xlfn.IFS(D23&lt;16,VLOOKUP(G9,Данные!A3:E27,2,FALSE),OR(D23&gt;=16,D23&lt;40),VLOOKUP(G9,Данные!A3:E27,3,FALSE),D23&gt;=40,VLOOKUP(G9,Данные!A3:E27,4,FALSE))</f>
        <v>1320-1340</v>
      </c>
      <c r="H34" s="55" t="s">
        <v>1191</v>
      </c>
      <c r="I34" s="30"/>
      <c r="J34" s="158"/>
      <c r="K34" s="182"/>
      <c r="N34" s="1365"/>
      <c r="P34" s="1"/>
      <c r="Q34" s="2" t="s">
        <v>285</v>
      </c>
      <c r="R34" s="2"/>
      <c r="S34" s="2"/>
      <c r="T34" s="500">
        <f>AC20</f>
        <v>660</v>
      </c>
      <c r="U34" s="2"/>
      <c r="V34" s="2"/>
      <c r="W34" s="2"/>
      <c r="X34" s="501"/>
      <c r="Y34" s="502"/>
      <c r="Z34" s="182"/>
      <c r="AA34" s="598"/>
      <c r="AB34" s="593"/>
      <c r="AC34" s="599">
        <f>((AC29*AC29-AC30*AC30)*3.1415926*AC32*AC33+(AC28*AC28-AC29*AC29)*AC31*AC33*3.14)/4000000</f>
        <v>742.51050227156247</v>
      </c>
      <c r="AE34" s="1"/>
      <c r="AF34" s="2" t="s">
        <v>285</v>
      </c>
      <c r="AG34" s="2"/>
      <c r="AH34" s="2"/>
      <c r="AI34" s="500">
        <f>AI32+AI33</f>
        <v>660</v>
      </c>
      <c r="AJ34" s="2"/>
      <c r="AK34" s="2"/>
      <c r="AL34" s="501"/>
      <c r="AM34" s="502"/>
      <c r="AN34" s="182"/>
      <c r="AO34" s="997" t="s">
        <v>1042</v>
      </c>
      <c r="AP34" s="998"/>
      <c r="AQ34" s="999">
        <f>AQ23+AQ33</f>
        <v>102.03026208841166</v>
      </c>
      <c r="AS34" s="1"/>
      <c r="AT34" s="2" t="s">
        <v>285</v>
      </c>
      <c r="AU34" s="2"/>
      <c r="AV34" s="2"/>
      <c r="AW34" s="500">
        <f>AW32+AW33</f>
        <v>520</v>
      </c>
      <c r="AX34" s="2"/>
      <c r="AY34" s="2"/>
      <c r="AZ34" s="501"/>
      <c r="BA34" s="502"/>
      <c r="BB34" s="182"/>
      <c r="BC34" s="997" t="s">
        <v>1042</v>
      </c>
      <c r="BD34" s="998"/>
      <c r="BE34" s="999">
        <f>BE23+BE33</f>
        <v>116.63482048411369</v>
      </c>
      <c r="BF34" s="59"/>
    </row>
    <row r="35" spans="2:58" ht="15" thickBot="1" x14ac:dyDescent="0.35">
      <c r="B35" s="4"/>
      <c r="C35" s="1347" t="s">
        <v>56</v>
      </c>
      <c r="D35" s="55"/>
      <c r="E35" s="55"/>
      <c r="F35" s="479"/>
      <c r="G35" s="764" t="str">
        <f>IF(G32="250010.00001","Засыпать сухим песком толщиной 40 мм.","25010.00168")</f>
        <v>Засыпать сухим песком толщиной 40 мм.</v>
      </c>
      <c r="H35" s="59"/>
      <c r="I35" s="29"/>
      <c r="J35" s="27"/>
      <c r="K35" s="182"/>
      <c r="P35" s="12"/>
      <c r="Q35" s="503" t="s">
        <v>49</v>
      </c>
      <c r="R35" s="71"/>
      <c r="S35" s="71"/>
      <c r="T35" s="71"/>
      <c r="U35" s="503" t="str">
        <f>VLOOKUP(U9,Данные!A3:I27,6,FALSE())</f>
        <v>25010.00176</v>
      </c>
      <c r="V35" s="503"/>
      <c r="W35" s="71"/>
      <c r="X35" s="504"/>
      <c r="Y35" s="505"/>
      <c r="Z35" s="23"/>
      <c r="AA35" s="600" t="s">
        <v>1202</v>
      </c>
      <c r="AB35" s="601"/>
      <c r="AC35" s="1416">
        <f>AC34/2</f>
        <v>371.25525113578124</v>
      </c>
      <c r="AE35" s="12"/>
      <c r="AF35" s="503" t="s">
        <v>49</v>
      </c>
      <c r="AG35" s="71"/>
      <c r="AH35" s="71"/>
      <c r="AI35" s="71"/>
      <c r="AJ35" s="503" t="str">
        <f>VLOOKUP(AJ9,Данные!A3:I27,6,FALSE())</f>
        <v>25010.00176</v>
      </c>
      <c r="AK35" s="71"/>
      <c r="AL35" s="504"/>
      <c r="AM35" s="505"/>
      <c r="AN35" s="182"/>
      <c r="AO35" s="60"/>
      <c r="AP35" s="60"/>
      <c r="AQ35" s="1186"/>
      <c r="AS35" s="12"/>
      <c r="AT35" s="503" t="s">
        <v>49</v>
      </c>
      <c r="AU35" s="71"/>
      <c r="AV35" s="71"/>
      <c r="AW35" s="71"/>
      <c r="AX35" s="503" t="str">
        <f>VLOOKUP(AX9,Данные!A3:I27,6,FALSE())</f>
        <v>25010.00174</v>
      </c>
      <c r="AY35" s="71"/>
      <c r="AZ35" s="504"/>
      <c r="BA35" s="505"/>
      <c r="BB35" s="182"/>
      <c r="BC35" s="43"/>
      <c r="BD35" s="43"/>
      <c r="BE35" s="59"/>
    </row>
    <row r="36" spans="2:58" ht="15" thickBot="1" x14ac:dyDescent="0.35">
      <c r="B36" s="4"/>
      <c r="C36" s="1347" t="s">
        <v>59</v>
      </c>
      <c r="D36" s="55"/>
      <c r="E36" s="55"/>
      <c r="F36" s="59"/>
      <c r="G36" s="1445">
        <v>1.4999999999999999E-2</v>
      </c>
      <c r="H36" s="59"/>
      <c r="I36" s="28"/>
      <c r="J36" s="27"/>
      <c r="K36" s="23"/>
      <c r="P36" s="19"/>
      <c r="Q36" s="506" t="s">
        <v>51</v>
      </c>
      <c r="R36" s="65"/>
      <c r="S36" s="65"/>
      <c r="T36" s="65"/>
      <c r="U36" s="65" t="s">
        <v>819</v>
      </c>
      <c r="V36" s="65"/>
      <c r="W36" s="65"/>
      <c r="X36" s="507"/>
      <c r="Y36" s="197"/>
      <c r="Z36" s="23"/>
      <c r="AA36" s="43" t="s">
        <v>202</v>
      </c>
      <c r="AB36" s="43"/>
      <c r="AC36" s="1424">
        <f>IF(A1=TRUE,AC22+IF(AB25=TRUE,AC35,AC34),AC22)</f>
        <v>1876.1698999445625</v>
      </c>
      <c r="AE36" s="19"/>
      <c r="AF36" s="506" t="s">
        <v>51</v>
      </c>
      <c r="AG36" s="65"/>
      <c r="AH36" s="65"/>
      <c r="AI36" s="65"/>
      <c r="AJ36" s="65" t="s">
        <v>819</v>
      </c>
      <c r="AK36" s="65"/>
      <c r="AL36" s="507"/>
      <c r="AM36" s="197"/>
      <c r="AN36" s="182"/>
      <c r="AO36" s="60"/>
      <c r="AP36" s="60"/>
      <c r="AQ36" s="1186"/>
      <c r="AS36" s="19"/>
      <c r="AT36" s="506" t="s">
        <v>51</v>
      </c>
      <c r="AU36" s="65"/>
      <c r="AV36" s="65"/>
      <c r="AW36" s="65"/>
      <c r="AX36" s="65" t="s">
        <v>819</v>
      </c>
      <c r="AY36" s="65"/>
      <c r="AZ36" s="507"/>
      <c r="BA36" s="197"/>
      <c r="BB36" s="182"/>
      <c r="BC36" s="43"/>
      <c r="BD36" s="43"/>
      <c r="BE36" s="43"/>
    </row>
    <row r="37" spans="2:58" ht="15" thickBot="1" x14ac:dyDescent="0.35">
      <c r="B37" s="4"/>
      <c r="C37" s="55" t="s">
        <v>52</v>
      </c>
      <c r="D37" s="55"/>
      <c r="E37" s="55"/>
      <c r="F37" s="59"/>
      <c r="G37" s="947" t="s">
        <v>53</v>
      </c>
      <c r="H37" s="59"/>
      <c r="I37" s="28"/>
      <c r="J37" s="27"/>
      <c r="K37" s="23"/>
      <c r="P37" s="4"/>
      <c r="Q37" s="60" t="s">
        <v>287</v>
      </c>
      <c r="R37" s="59"/>
      <c r="S37" s="59"/>
      <c r="T37" s="59"/>
      <c r="U37" s="59"/>
      <c r="V37" s="59"/>
      <c r="W37" s="59"/>
      <c r="X37" s="23"/>
      <c r="Y37" s="24"/>
      <c r="Z37" s="23"/>
      <c r="AA37" s="43"/>
      <c r="AB37" s="43"/>
      <c r="AC37" s="43"/>
      <c r="AE37" s="4"/>
      <c r="AF37" s="60" t="s">
        <v>287</v>
      </c>
      <c r="AG37" s="59"/>
      <c r="AH37" s="59"/>
      <c r="AI37" s="59"/>
      <c r="AJ37" s="59"/>
      <c r="AK37" s="59"/>
      <c r="AL37" s="23"/>
      <c r="AM37" s="24"/>
      <c r="AN37" s="23"/>
      <c r="AS37" s="4"/>
      <c r="AT37" s="60" t="s">
        <v>287</v>
      </c>
      <c r="AU37" s="59"/>
      <c r="AV37" s="59"/>
      <c r="AW37" s="59"/>
      <c r="AX37" s="59"/>
      <c r="AY37" s="59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347" t="s">
        <v>54</v>
      </c>
      <c r="D38" s="55"/>
      <c r="E38" s="55"/>
      <c r="F38" s="59"/>
      <c r="G38" s="947" t="s">
        <v>55</v>
      </c>
      <c r="H38" s="59"/>
      <c r="I38" s="29"/>
      <c r="J38" s="27"/>
      <c r="K38" s="23"/>
      <c r="P38" s="4"/>
      <c r="Q38" s="60" t="s">
        <v>288</v>
      </c>
      <c r="R38" s="59"/>
      <c r="S38" s="59"/>
      <c r="T38" s="59"/>
      <c r="U38" s="59"/>
      <c r="V38" s="59"/>
      <c r="W38" s="59"/>
      <c r="X38" s="23"/>
      <c r="Y38" s="24"/>
      <c r="Z38" s="59"/>
      <c r="AA38" s="1741" t="s">
        <v>329</v>
      </c>
      <c r="AB38" s="1742"/>
      <c r="AC38" s="1743"/>
      <c r="AE38" s="4"/>
      <c r="AF38" s="60" t="s">
        <v>288</v>
      </c>
      <c r="AG38" s="59"/>
      <c r="AH38" s="59"/>
      <c r="AI38" s="59"/>
      <c r="AJ38" s="59"/>
      <c r="AK38" s="59"/>
      <c r="AL38" s="23"/>
      <c r="AM38" s="24"/>
      <c r="AN38" s="23"/>
      <c r="AO38" s="1733" t="s">
        <v>329</v>
      </c>
      <c r="AP38" s="1733"/>
      <c r="AQ38" s="1733"/>
      <c r="AS38" s="4"/>
      <c r="AT38" s="60" t="s">
        <v>288</v>
      </c>
      <c r="AU38" s="59"/>
      <c r="AV38" s="59"/>
      <c r="AW38" s="59"/>
      <c r="AX38" s="59"/>
      <c r="AY38" s="59"/>
      <c r="AZ38" s="23"/>
      <c r="BA38" s="24"/>
      <c r="BB38" s="23"/>
      <c r="BC38" s="1733" t="s">
        <v>329</v>
      </c>
      <c r="BD38" s="1733"/>
      <c r="BE38" s="1733"/>
    </row>
    <row r="39" spans="2:58" ht="15" thickBot="1" x14ac:dyDescent="0.35">
      <c r="B39" s="12"/>
      <c r="C39" s="503" t="s">
        <v>287</v>
      </c>
      <c r="D39" s="71"/>
      <c r="E39" s="71"/>
      <c r="F39" s="71"/>
      <c r="G39" s="71"/>
      <c r="H39" s="71"/>
      <c r="I39" s="161"/>
      <c r="J39" s="162"/>
      <c r="K39" s="59"/>
      <c r="P39" s="4"/>
      <c r="Q39" s="60" t="s">
        <v>820</v>
      </c>
      <c r="R39" s="59"/>
      <c r="S39" s="59"/>
      <c r="T39" s="59"/>
      <c r="U39" s="59"/>
      <c r="V39" s="59"/>
      <c r="W39" s="59"/>
      <c r="X39" s="23"/>
      <c r="Y39" s="24"/>
      <c r="Z39" s="59"/>
      <c r="AA39" s="1737" t="s">
        <v>1094</v>
      </c>
      <c r="AB39" s="1738"/>
      <c r="AC39" s="1418">
        <f>AA10</f>
        <v>155</v>
      </c>
      <c r="AE39" s="4"/>
      <c r="AF39" s="60" t="s">
        <v>820</v>
      </c>
      <c r="AG39" s="59"/>
      <c r="AH39" s="59"/>
      <c r="AI39" s="59"/>
      <c r="AJ39" s="59"/>
      <c r="AK39" s="59"/>
      <c r="AL39" s="23"/>
      <c r="AM39" s="24"/>
      <c r="AN39" s="23"/>
      <c r="AO39" s="1730" t="s">
        <v>1094</v>
      </c>
      <c r="AP39" s="1730"/>
      <c r="AQ39" s="1148">
        <f>AO10</f>
        <v>155</v>
      </c>
      <c r="AS39" s="4"/>
      <c r="AT39" s="60" t="s">
        <v>820</v>
      </c>
      <c r="AU39" s="59"/>
      <c r="AV39" s="59"/>
      <c r="AW39" s="59"/>
      <c r="AX39" s="59"/>
      <c r="AY39" s="59"/>
      <c r="AZ39" s="23"/>
      <c r="BA39" s="24"/>
      <c r="BB39" s="23"/>
      <c r="BC39" s="1730" t="s">
        <v>1094</v>
      </c>
      <c r="BD39" s="1730"/>
      <c r="BE39" s="1148">
        <f>BC10</f>
        <v>520</v>
      </c>
    </row>
    <row r="40" spans="2:58" ht="15" thickBot="1" x14ac:dyDescent="0.35">
      <c r="B40" s="4"/>
      <c r="C40" s="60" t="s">
        <v>288</v>
      </c>
      <c r="D40" s="59"/>
      <c r="E40" s="59"/>
      <c r="F40" s="59"/>
      <c r="G40" s="59"/>
      <c r="H40" s="59"/>
      <c r="I40" s="23"/>
      <c r="J40" s="24"/>
      <c r="K40" s="59"/>
      <c r="P40" s="1570" t="s">
        <v>290</v>
      </c>
      <c r="Q40" s="1643"/>
      <c r="R40" s="1571"/>
      <c r="S40" s="103" t="s">
        <v>821</v>
      </c>
      <c r="T40" s="103" t="s">
        <v>293</v>
      </c>
      <c r="U40" s="103" t="s">
        <v>822</v>
      </c>
      <c r="V40" s="1570" t="s">
        <v>293</v>
      </c>
      <c r="W40" s="1571"/>
      <c r="X40" s="103" t="s">
        <v>294</v>
      </c>
      <c r="Y40" s="103" t="s">
        <v>293</v>
      </c>
      <c r="Z40" s="59"/>
      <c r="AA40" s="1737" t="s">
        <v>1095</v>
      </c>
      <c r="AB40" s="1738"/>
      <c r="AC40" s="1418">
        <f>U17</f>
        <v>1</v>
      </c>
      <c r="AE40" s="1"/>
      <c r="AF40" s="80" t="s">
        <v>290</v>
      </c>
      <c r="AG40" s="103"/>
      <c r="AH40" s="103" t="s">
        <v>821</v>
      </c>
      <c r="AI40" s="103" t="s">
        <v>293</v>
      </c>
      <c r="AJ40" s="103" t="s">
        <v>822</v>
      </c>
      <c r="AK40" s="103" t="s">
        <v>293</v>
      </c>
      <c r="AL40" s="103" t="s">
        <v>294</v>
      </c>
      <c r="AM40" s="103" t="s">
        <v>293</v>
      </c>
      <c r="AN40" s="59"/>
      <c r="AO40" s="1730" t="s">
        <v>1095</v>
      </c>
      <c r="AP40" s="1730"/>
      <c r="AQ40" s="1148">
        <f>AJ17</f>
        <v>2</v>
      </c>
      <c r="AS40" s="1570" t="s">
        <v>290</v>
      </c>
      <c r="AT40" s="1643"/>
      <c r="AU40" s="1571"/>
      <c r="AV40" s="103" t="s">
        <v>821</v>
      </c>
      <c r="AW40" s="103" t="s">
        <v>293</v>
      </c>
      <c r="AX40" s="103" t="s">
        <v>822</v>
      </c>
      <c r="AY40" s="103" t="s">
        <v>293</v>
      </c>
      <c r="AZ40" s="103" t="s">
        <v>294</v>
      </c>
      <c r="BA40" s="103" t="s">
        <v>293</v>
      </c>
      <c r="BB40" s="59"/>
      <c r="BC40" s="1730" t="s">
        <v>1095</v>
      </c>
      <c r="BD40" s="1730"/>
      <c r="BE40" s="1148">
        <f>AX17</f>
        <v>1</v>
      </c>
    </row>
    <row r="41" spans="2:58" ht="15" thickBot="1" x14ac:dyDescent="0.35">
      <c r="B41" s="19"/>
      <c r="C41" s="506" t="s">
        <v>820</v>
      </c>
      <c r="D41" s="65"/>
      <c r="E41" s="65"/>
      <c r="F41" s="65"/>
      <c r="G41" s="65"/>
      <c r="H41" s="65"/>
      <c r="I41" s="167"/>
      <c r="J41" s="72"/>
      <c r="K41" s="59"/>
      <c r="P41" s="1759">
        <f ca="1">TODAY()</f>
        <v>45428</v>
      </c>
      <c r="Q41" s="1778"/>
      <c r="R41" s="1779"/>
      <c r="S41" s="103" t="s">
        <v>264</v>
      </c>
      <c r="T41" s="508"/>
      <c r="U41" s="103" t="s">
        <v>265</v>
      </c>
      <c r="V41" s="1570"/>
      <c r="W41" s="1571"/>
      <c r="X41" s="103"/>
      <c r="Y41" s="103"/>
      <c r="Z41" s="59"/>
      <c r="AA41" s="1737" t="s">
        <v>1096</v>
      </c>
      <c r="AB41" s="1738"/>
      <c r="AC41" s="1418">
        <f>IF(R23&lt;100,8,IF(AND(R23&gt;=100,R23&lt;200),10,20))</f>
        <v>20</v>
      </c>
      <c r="AE41" s="1759">
        <f ca="1">TODAY()</f>
        <v>45428</v>
      </c>
      <c r="AF41" s="1760"/>
      <c r="AG41" s="1761"/>
      <c r="AH41" s="103" t="s">
        <v>264</v>
      </c>
      <c r="AI41" s="508"/>
      <c r="AJ41" s="103" t="s">
        <v>265</v>
      </c>
      <c r="AK41" s="103"/>
      <c r="AL41" s="103"/>
      <c r="AM41" s="103"/>
      <c r="AN41" s="59"/>
      <c r="AO41" s="1730" t="s">
        <v>1096</v>
      </c>
      <c r="AP41" s="1730"/>
      <c r="AQ41" s="1148">
        <f>IF(AG23&lt;100,8,IF(AND(AG23&gt;=100,AG23&lt;200),10,20))</f>
        <v>10</v>
      </c>
      <c r="AS41" s="1759">
        <f ca="1">TODAY()</f>
        <v>45428</v>
      </c>
      <c r="AT41" s="1760"/>
      <c r="AU41" s="1761"/>
      <c r="AV41" s="103" t="s">
        <v>264</v>
      </c>
      <c r="AW41" s="508"/>
      <c r="AX41" s="103" t="s">
        <v>265</v>
      </c>
      <c r="AY41" s="103"/>
      <c r="AZ41" s="103"/>
      <c r="BA41" s="103"/>
      <c r="BB41" s="59"/>
      <c r="BC41" s="1730" t="s">
        <v>1096</v>
      </c>
      <c r="BD41" s="1730"/>
      <c r="BE41" s="1148">
        <f>IF(AU23&lt;100,8,IF(AND(AU23&gt;=100,AU23&lt;200),10,20))</f>
        <v>10</v>
      </c>
    </row>
    <row r="42" spans="2:58" ht="15" thickBot="1" x14ac:dyDescent="0.35">
      <c r="B42" s="1"/>
      <c r="C42" s="80" t="s">
        <v>290</v>
      </c>
      <c r="D42" s="103"/>
      <c r="E42" s="103" t="s">
        <v>821</v>
      </c>
      <c r="F42" s="103" t="s">
        <v>293</v>
      </c>
      <c r="G42" s="103" t="s">
        <v>822</v>
      </c>
      <c r="H42" s="103" t="s">
        <v>293</v>
      </c>
      <c r="I42" s="103" t="s">
        <v>294</v>
      </c>
      <c r="J42" s="103" t="s">
        <v>293</v>
      </c>
      <c r="K42" s="59"/>
      <c r="P42" s="1775" t="s">
        <v>70</v>
      </c>
      <c r="Q42" s="1776"/>
      <c r="R42" s="1777"/>
      <c r="S42" s="103"/>
      <c r="T42" s="74"/>
      <c r="U42" s="103"/>
      <c r="V42" s="1570"/>
      <c r="W42" s="1571"/>
      <c r="X42" s="103"/>
      <c r="Y42" s="103"/>
      <c r="Z42" s="43"/>
      <c r="AA42" s="1737" t="s">
        <v>1021</v>
      </c>
      <c r="AB42" s="1738"/>
      <c r="AC42" s="1418">
        <f>IF(R23&lt;100,35,IF(AND(R23&gt;=100,R23&lt;200),40,50))</f>
        <v>50</v>
      </c>
      <c r="AE42" s="1"/>
      <c r="AF42" s="1776" t="s">
        <v>70</v>
      </c>
      <c r="AG42" s="1777"/>
      <c r="AH42" s="103"/>
      <c r="AI42" s="74"/>
      <c r="AJ42" s="103"/>
      <c r="AK42" s="103"/>
      <c r="AL42" s="103"/>
      <c r="AM42" s="103"/>
      <c r="AN42" s="59"/>
      <c r="AO42" s="1730" t="s">
        <v>1021</v>
      </c>
      <c r="AP42" s="1730"/>
      <c r="AQ42" s="1148">
        <f>IF(AF21&lt;100,35,IF(AND(AF21&gt;=100,AF21&lt;200),40,50))</f>
        <v>35</v>
      </c>
      <c r="AS42" s="1775" t="s">
        <v>70</v>
      </c>
      <c r="AT42" s="1776"/>
      <c r="AU42" s="1777"/>
      <c r="AV42" s="103"/>
      <c r="AW42" s="74"/>
      <c r="AX42" s="103"/>
      <c r="AY42" s="103"/>
      <c r="AZ42" s="103"/>
      <c r="BA42" s="103"/>
      <c r="BB42" s="59"/>
      <c r="BC42" s="1730" t="s">
        <v>1021</v>
      </c>
      <c r="BD42" s="1730"/>
      <c r="BE42" s="1148">
        <f>IF(AT21&lt;100,35,IF(AND(AT21&gt;=100,AT21&lt;200),40,50))</f>
        <v>35</v>
      </c>
    </row>
    <row r="43" spans="2:58" ht="15" thickBot="1" x14ac:dyDescent="0.35">
      <c r="B43" s="1759">
        <f ca="1">TODAY()</f>
        <v>45428</v>
      </c>
      <c r="C43" s="1760"/>
      <c r="D43" s="1761"/>
      <c r="E43" s="103" t="s">
        <v>264</v>
      </c>
      <c r="F43" s="508"/>
      <c r="G43" s="103" t="s">
        <v>265</v>
      </c>
      <c r="H43" s="103"/>
      <c r="I43" s="103" t="s">
        <v>264</v>
      </c>
      <c r="J43" s="103"/>
      <c r="K43" s="59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420"/>
      <c r="AB43" s="1421"/>
      <c r="AC43" s="1419">
        <f>IF(AC40=1,X28,AC39*AC40+AC41*AC40+AC42)</f>
        <v>205</v>
      </c>
      <c r="AN43" s="59"/>
      <c r="AO43" s="43"/>
      <c r="AP43" s="43"/>
      <c r="AQ43" s="1149">
        <f>AQ39*AQ40+AQ41*AQ40+AQ42</f>
        <v>365</v>
      </c>
      <c r="BC43" s="43"/>
      <c r="BD43" s="43"/>
      <c r="BE43" s="1149">
        <f>BE39*BE40+BE41*BE40+BE42</f>
        <v>565</v>
      </c>
    </row>
    <row r="44" spans="2:58" ht="15" thickBot="1" x14ac:dyDescent="0.35">
      <c r="B44" s="1"/>
      <c r="C44" s="509" t="s">
        <v>70</v>
      </c>
      <c r="D44" s="103"/>
      <c r="E44" s="103"/>
      <c r="F44" s="74"/>
      <c r="G44" s="103"/>
      <c r="H44" s="103"/>
      <c r="I44" s="103"/>
      <c r="J44" s="103"/>
      <c r="K44" s="59"/>
      <c r="P44" s="43"/>
      <c r="Q44" s="1641" t="s">
        <v>89</v>
      </c>
      <c r="R44" s="1774"/>
      <c r="S44" s="1774"/>
      <c r="T44" s="1774"/>
      <c r="U44" s="1774"/>
      <c r="V44" s="1774"/>
      <c r="W44" s="1774"/>
      <c r="X44" s="1774"/>
      <c r="Y44" s="1642"/>
      <c r="Z44" s="43"/>
      <c r="AA44" s="600"/>
      <c r="AB44" s="1422"/>
      <c r="AC44" s="70"/>
      <c r="AE44" s="1641" t="s">
        <v>89</v>
      </c>
      <c r="AF44" s="1774"/>
      <c r="AG44" s="1774"/>
      <c r="AH44" s="1774"/>
      <c r="AI44" s="1774"/>
      <c r="AJ44" s="1774"/>
      <c r="AK44" s="1774"/>
      <c r="AL44" s="1774"/>
      <c r="AM44" s="1642"/>
      <c r="AS44" s="1061"/>
      <c r="AT44" s="1061"/>
      <c r="AU44" s="1061"/>
      <c r="AV44" s="1061"/>
      <c r="AW44" s="1061"/>
      <c r="AX44" s="1061"/>
      <c r="AY44" s="1061"/>
      <c r="AZ44" s="1061"/>
      <c r="BA44" s="1061"/>
    </row>
    <row r="45" spans="2:58" ht="14.4" customHeight="1" thickBot="1" x14ac:dyDescent="0.35">
      <c r="B45" s="4"/>
      <c r="C45" s="59"/>
      <c r="D45" s="59"/>
      <c r="E45" s="59"/>
      <c r="F45" s="17"/>
      <c r="G45" s="59"/>
      <c r="H45" s="59"/>
      <c r="I45" s="59"/>
      <c r="J45" s="10"/>
      <c r="K45" s="59"/>
      <c r="P45" s="43"/>
      <c r="Q45" s="1762" t="e">
        <f>VLOOKUP(AA15,Стац.Болваны,5,FALSE)</f>
        <v>#N/A</v>
      </c>
      <c r="R45" s="1763"/>
      <c r="S45" s="1763"/>
      <c r="T45" s="1763"/>
      <c r="U45" s="1763"/>
      <c r="V45" s="1763"/>
      <c r="W45" s="1763"/>
      <c r="X45" s="1763"/>
      <c r="Y45" s="1764"/>
      <c r="Z45" s="43"/>
      <c r="AA45" s="43"/>
      <c r="AB45" s="43"/>
      <c r="AE45" s="1744" t="str">
        <f>IF(VLOOKUP(AH32,Стац.Болваны,5,FALSE)=0,"",VLOOKUP(AH32,Стац.Болваны,5,FALSE))</f>
        <v/>
      </c>
      <c r="AF45" s="1745"/>
      <c r="AG45" s="1745"/>
      <c r="AH45" s="1745"/>
      <c r="AI45" s="1745"/>
      <c r="AJ45" s="1745"/>
      <c r="AK45" s="1745"/>
      <c r="AL45" s="1745"/>
      <c r="AM45" s="1746"/>
      <c r="AO45" s="43"/>
      <c r="AP45" s="43"/>
      <c r="AQ45" s="43"/>
      <c r="AS45" s="1217"/>
      <c r="AT45" s="1217"/>
      <c r="AU45" s="1217"/>
      <c r="AV45" s="1217"/>
      <c r="AW45" s="1217"/>
      <c r="AX45" s="1217"/>
      <c r="AY45" s="1217"/>
      <c r="AZ45" s="1217"/>
      <c r="BA45" s="1217"/>
    </row>
    <row r="46" spans="2:58" ht="14.4" customHeight="1" x14ac:dyDescent="0.3">
      <c r="B46" s="12"/>
      <c r="C46" s="71" t="s">
        <v>1192</v>
      </c>
      <c r="D46" s="71"/>
      <c r="E46" s="1355" t="s">
        <v>295</v>
      </c>
      <c r="F46" s="1343" t="s">
        <v>296</v>
      </c>
      <c r="G46" s="1356" t="s">
        <v>296</v>
      </c>
      <c r="H46" s="503" t="s">
        <v>297</v>
      </c>
      <c r="I46" s="1785" t="s">
        <v>298</v>
      </c>
      <c r="J46" s="1786"/>
      <c r="K46" s="59"/>
      <c r="P46" s="43"/>
      <c r="Q46" s="1765"/>
      <c r="R46" s="1766"/>
      <c r="S46" s="1766"/>
      <c r="T46" s="1766"/>
      <c r="U46" s="1766"/>
      <c r="V46" s="1766"/>
      <c r="W46" s="1766"/>
      <c r="X46" s="1766"/>
      <c r="Y46" s="1767"/>
      <c r="Z46" s="43"/>
      <c r="AA46" s="43"/>
      <c r="AB46" s="43"/>
      <c r="AC46" s="43"/>
      <c r="AE46" s="1747"/>
      <c r="AF46" s="1748"/>
      <c r="AG46" s="1748"/>
      <c r="AH46" s="1748"/>
      <c r="AI46" s="1748"/>
      <c r="AJ46" s="1748"/>
      <c r="AK46" s="1748"/>
      <c r="AL46" s="1748"/>
      <c r="AM46" s="1749"/>
      <c r="AS46" s="1217"/>
      <c r="AT46" s="1217"/>
      <c r="AU46" s="1217"/>
      <c r="AV46" s="1217"/>
      <c r="AW46" s="1217"/>
      <c r="AX46" s="1217"/>
      <c r="AY46" s="1217"/>
      <c r="AZ46" s="1217"/>
      <c r="BA46" s="1217"/>
    </row>
    <row r="47" spans="2:58" ht="14.4" customHeight="1" thickBot="1" x14ac:dyDescent="0.35">
      <c r="B47" s="4"/>
      <c r="C47" s="60" t="s">
        <v>299</v>
      </c>
      <c r="D47" s="59"/>
      <c r="E47" s="1357" t="s">
        <v>300</v>
      </c>
      <c r="F47" s="514" t="s">
        <v>301</v>
      </c>
      <c r="G47" s="1358" t="s">
        <v>1193</v>
      </c>
      <c r="H47" s="59"/>
      <c r="I47" s="1780" t="s">
        <v>1194</v>
      </c>
      <c r="J47" s="1781"/>
      <c r="K47" s="59"/>
      <c r="P47" s="43"/>
      <c r="Q47" s="1765"/>
      <c r="R47" s="1766"/>
      <c r="S47" s="1766"/>
      <c r="T47" s="1766"/>
      <c r="U47" s="1766"/>
      <c r="V47" s="1766"/>
      <c r="W47" s="1766"/>
      <c r="X47" s="1766"/>
      <c r="Y47" s="1767"/>
      <c r="Z47" s="43"/>
      <c r="AA47" s="43"/>
      <c r="AB47" s="43"/>
      <c r="AC47" s="43"/>
      <c r="AE47" s="1747"/>
      <c r="AF47" s="1748"/>
      <c r="AG47" s="1748"/>
      <c r="AH47" s="1748"/>
      <c r="AI47" s="1748"/>
      <c r="AJ47" s="1748"/>
      <c r="AK47" s="1748"/>
      <c r="AL47" s="1748"/>
      <c r="AM47" s="1749"/>
      <c r="AS47" s="1217"/>
      <c r="AT47" s="1217"/>
      <c r="AU47" s="1217"/>
      <c r="AV47" s="1217"/>
      <c r="AW47" s="1217"/>
      <c r="AX47" s="1217"/>
      <c r="AY47" s="1217"/>
      <c r="AZ47" s="1217"/>
      <c r="BA47" s="1217"/>
    </row>
    <row r="48" spans="2:58" ht="14.4" customHeight="1" x14ac:dyDescent="0.3">
      <c r="B48" s="12"/>
      <c r="C48" s="503" t="s">
        <v>1195</v>
      </c>
      <c r="D48" s="71"/>
      <c r="E48" s="1581">
        <v>40</v>
      </c>
      <c r="F48" s="1581">
        <v>1</v>
      </c>
      <c r="G48" s="1581">
        <v>20</v>
      </c>
      <c r="H48" s="1581">
        <v>3</v>
      </c>
      <c r="I48" s="1787">
        <f>1.152/G17</f>
        <v>0.23039999999999999</v>
      </c>
      <c r="J48" s="1788"/>
      <c r="K48" s="59"/>
      <c r="P48" s="43"/>
      <c r="Q48" s="1768"/>
      <c r="R48" s="1769"/>
      <c r="S48" s="1769"/>
      <c r="T48" s="1769"/>
      <c r="U48" s="1769"/>
      <c r="V48" s="1769"/>
      <c r="W48" s="1769"/>
      <c r="X48" s="1769"/>
      <c r="Y48" s="1770"/>
      <c r="Z48" s="43"/>
      <c r="AA48" s="43"/>
      <c r="AB48" s="43"/>
      <c r="AC48" s="43"/>
      <c r="AE48" s="1750"/>
      <c r="AF48" s="1751"/>
      <c r="AG48" s="1751"/>
      <c r="AH48" s="1751"/>
      <c r="AI48" s="1751"/>
      <c r="AJ48" s="1751"/>
      <c r="AK48" s="1751"/>
      <c r="AL48" s="1751"/>
      <c r="AM48" s="1752"/>
      <c r="AS48" s="1217"/>
      <c r="AT48" s="1217"/>
      <c r="AU48" s="1217"/>
      <c r="AV48" s="1217"/>
      <c r="AW48" s="1217"/>
      <c r="AX48" s="1217"/>
      <c r="AY48" s="1217"/>
      <c r="AZ48" s="1217"/>
      <c r="BA48" s="1217"/>
    </row>
    <row r="49" spans="2:31" ht="15" thickBot="1" x14ac:dyDescent="0.35">
      <c r="B49" s="19"/>
      <c r="C49" s="506" t="s">
        <v>1196</v>
      </c>
      <c r="D49" s="65"/>
      <c r="E49" s="1583"/>
      <c r="F49" s="1583"/>
      <c r="G49" s="1583"/>
      <c r="H49" s="1583"/>
      <c r="I49" s="1789"/>
      <c r="J49" s="1790"/>
      <c r="L49" s="1362">
        <f>(0.7*0.7*0.5*2.045)*2.3</f>
        <v>1.1523574999999997</v>
      </c>
      <c r="AE49" s="1212"/>
    </row>
    <row r="50" spans="2:31" x14ac:dyDescent="0.3">
      <c r="S50">
        <f>SQRT(85*85+84*84)</f>
        <v>119.50313803411188</v>
      </c>
    </row>
    <row r="55" spans="2:31" ht="15" thickBot="1" x14ac:dyDescent="0.35">
      <c r="K55" s="79"/>
      <c r="P55" s="59"/>
    </row>
    <row r="56" spans="2:31" s="79" customFormat="1" ht="43.2" x14ac:dyDescent="0.3">
      <c r="K56" s="43"/>
      <c r="L56" s="1362"/>
      <c r="M56" s="1362"/>
      <c r="N56" s="1362"/>
      <c r="Q56" s="1176" t="s">
        <v>433</v>
      </c>
      <c r="R56" s="1175" t="s">
        <v>1122</v>
      </c>
      <c r="S56" s="1175" t="s">
        <v>1123</v>
      </c>
      <c r="T56" s="1175" t="s">
        <v>1124</v>
      </c>
      <c r="U56" s="1175" t="s">
        <v>1125</v>
      </c>
      <c r="V56" s="1175"/>
      <c r="W56" s="1175" t="s">
        <v>839</v>
      </c>
      <c r="X56" s="1177" t="s">
        <v>840</v>
      </c>
      <c r="Y56" s="43"/>
      <c r="Z56"/>
      <c r="AA56"/>
      <c r="AB56"/>
      <c r="AC56"/>
      <c r="AD56"/>
      <c r="AE56"/>
    </row>
    <row r="57" spans="2:31" x14ac:dyDescent="0.3">
      <c r="Q57" s="1178" t="s">
        <v>841</v>
      </c>
      <c r="R57" s="1179" t="s">
        <v>1126</v>
      </c>
      <c r="S57" s="1179">
        <v>200</v>
      </c>
      <c r="T57" s="1179">
        <f>U57*2-S57</f>
        <v>170</v>
      </c>
      <c r="U57" s="1179">
        <v>185</v>
      </c>
      <c r="V57" s="1179"/>
      <c r="W57" s="1179">
        <v>230</v>
      </c>
      <c r="X57" s="1180">
        <f t="shared" ref="X57:X62" si="0">U57*U57*3.1415926*7.5*W57/4000000</f>
        <v>46.368434154468751</v>
      </c>
      <c r="Y57" s="43"/>
    </row>
    <row r="58" spans="2:31" x14ac:dyDescent="0.3">
      <c r="L58" s="1364"/>
      <c r="M58" s="1364"/>
      <c r="N58" s="1364"/>
      <c r="Q58" s="1178" t="s">
        <v>842</v>
      </c>
      <c r="R58" s="1179" t="s">
        <v>1127</v>
      </c>
      <c r="S58" s="1179">
        <v>250</v>
      </c>
      <c r="T58" s="1179">
        <f>U58*2-S58</f>
        <v>210</v>
      </c>
      <c r="U58" s="1179">
        <v>230</v>
      </c>
      <c r="V58" s="1179"/>
      <c r="W58" s="1179">
        <v>300</v>
      </c>
      <c r="X58" s="1180">
        <f t="shared" si="0"/>
        <v>93.482014803749991</v>
      </c>
      <c r="Y58" s="43" t="s">
        <v>843</v>
      </c>
    </row>
    <row r="59" spans="2:31" x14ac:dyDescent="0.3">
      <c r="Q59" s="1178" t="s">
        <v>844</v>
      </c>
      <c r="R59" s="1179" t="s">
        <v>1128</v>
      </c>
      <c r="S59" s="1181">
        <v>350</v>
      </c>
      <c r="T59" s="1179">
        <f>U59*2-S59</f>
        <v>300</v>
      </c>
      <c r="U59" s="1179">
        <v>325</v>
      </c>
      <c r="V59" s="1179"/>
      <c r="W59" s="1179">
        <v>350</v>
      </c>
      <c r="X59" s="1180">
        <f t="shared" si="0"/>
        <v>217.76390893359374</v>
      </c>
      <c r="Y59" s="43"/>
    </row>
    <row r="60" spans="2:31" x14ac:dyDescent="0.3">
      <c r="Q60" s="1178" t="s">
        <v>845</v>
      </c>
      <c r="R60" s="1179" t="s">
        <v>1129</v>
      </c>
      <c r="S60" s="1179">
        <v>430</v>
      </c>
      <c r="T60" s="1179">
        <f>U60*2-S60</f>
        <v>335</v>
      </c>
      <c r="U60" s="1182">
        <v>382.5</v>
      </c>
      <c r="V60" s="1182"/>
      <c r="W60" s="1179">
        <v>380</v>
      </c>
      <c r="X60" s="1180">
        <f t="shared" si="0"/>
        <v>327.48967553779693</v>
      </c>
      <c r="Y60" s="43" t="s">
        <v>846</v>
      </c>
    </row>
    <row r="61" spans="2:31" x14ac:dyDescent="0.3">
      <c r="Q61" s="1178" t="s">
        <v>847</v>
      </c>
      <c r="R61" s="1179" t="s">
        <v>1130</v>
      </c>
      <c r="S61" s="1179">
        <v>620</v>
      </c>
      <c r="T61" s="1179">
        <f>U61*2-S61</f>
        <v>360</v>
      </c>
      <c r="U61" s="1179">
        <v>490</v>
      </c>
      <c r="V61" s="1179"/>
      <c r="W61" s="1179">
        <v>525</v>
      </c>
      <c r="X61" s="1180">
        <f t="shared" si="0"/>
        <v>742.51050227156247</v>
      </c>
      <c r="Y61" s="43"/>
    </row>
    <row r="62" spans="2:31" ht="15" thickBot="1" x14ac:dyDescent="0.35">
      <c r="Q62" s="1183" t="s">
        <v>848</v>
      </c>
      <c r="R62" s="1184" t="s">
        <v>1131</v>
      </c>
      <c r="S62" s="1184">
        <v>805</v>
      </c>
      <c r="T62" s="1184">
        <v>624</v>
      </c>
      <c r="U62" s="1184">
        <f>S62/2+T62/2</f>
        <v>714.5</v>
      </c>
      <c r="V62" s="1184"/>
      <c r="W62" s="1184">
        <v>305</v>
      </c>
      <c r="X62" s="1185">
        <f t="shared" si="0"/>
        <v>917.18183101006082</v>
      </c>
      <c r="Y62" s="43"/>
    </row>
    <row r="63" spans="2:31" x14ac:dyDescent="0.3">
      <c r="Q63" s="799" t="s">
        <v>946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P42:R42"/>
    <mergeCell ref="AF42:AG42"/>
    <mergeCell ref="V42:W42"/>
    <mergeCell ref="AS41:AU41"/>
    <mergeCell ref="P41:R41"/>
    <mergeCell ref="V41:W41"/>
    <mergeCell ref="AA41:AB41"/>
    <mergeCell ref="AS42:AU42"/>
    <mergeCell ref="AE44:AM44"/>
    <mergeCell ref="AO40:AP40"/>
    <mergeCell ref="AO41:AP41"/>
    <mergeCell ref="AO42:AP42"/>
    <mergeCell ref="AA42:AB42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Q44:Y44"/>
    <mergeCell ref="AA2:AC2"/>
    <mergeCell ref="AO38:AQ38"/>
    <mergeCell ref="AF4:AJ4"/>
    <mergeCell ref="AE30:AM30"/>
    <mergeCell ref="AA38:AC38"/>
    <mergeCell ref="U33:W33"/>
    <mergeCell ref="BC38:BE38"/>
    <mergeCell ref="AX33:AZ33"/>
    <mergeCell ref="AA39:AB39"/>
    <mergeCell ref="AA40:AB40"/>
    <mergeCell ref="AS40:AU40"/>
    <mergeCell ref="BC41:BD41"/>
    <mergeCell ref="BC42:BD42"/>
    <mergeCell ref="V40:W40"/>
    <mergeCell ref="BC39:BD39"/>
    <mergeCell ref="BC40:BD40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topLeftCell="A220" zoomScale="70" zoomScaleNormal="70" workbookViewId="0">
      <selection activeCell="L247" sqref="L247"/>
    </sheetView>
  </sheetViews>
  <sheetFormatPr defaultColWidth="8.5546875" defaultRowHeight="13.8" x14ac:dyDescent="0.25"/>
  <cols>
    <col min="1" max="1" width="16.33203125" style="56" customWidth="1"/>
    <col min="2" max="2" width="18.109375" style="241" customWidth="1"/>
    <col min="3" max="3" width="16.5546875" style="56" customWidth="1"/>
    <col min="4" max="4" width="13.6640625" style="56" customWidth="1"/>
    <col min="5" max="5" width="16" style="56" customWidth="1"/>
    <col min="6" max="6" width="15.6640625" style="56" customWidth="1"/>
    <col min="7" max="7" width="17.44140625" style="56" customWidth="1"/>
    <col min="8" max="8" width="19.88671875" style="56" customWidth="1"/>
    <col min="9" max="9" width="15.109375" style="56" customWidth="1"/>
    <col min="10" max="10" width="15.5546875" style="56" customWidth="1"/>
    <col min="11" max="11" width="19.44140625" style="56" customWidth="1"/>
    <col min="12" max="12" width="12.88671875" style="56" customWidth="1"/>
    <col min="13" max="13" width="10.33203125" style="56" customWidth="1"/>
    <col min="14" max="14" width="13.33203125" style="56" customWidth="1"/>
    <col min="15" max="15" width="14" style="56" customWidth="1"/>
    <col min="16" max="16" width="9.77734375" style="56" customWidth="1"/>
    <col min="17" max="17" width="11.77734375" style="56" customWidth="1"/>
    <col min="18" max="18" width="13.21875" style="56" customWidth="1"/>
    <col min="19" max="19" width="12.21875" style="56" customWidth="1"/>
    <col min="20" max="20" width="13.77734375" style="56" customWidth="1"/>
    <col min="21" max="21" width="12.6640625" style="56" customWidth="1"/>
    <col min="22" max="23" width="10.33203125" style="56" customWidth="1"/>
    <col min="24" max="24" width="9.88671875" style="56" customWidth="1"/>
    <col min="25" max="25" width="8.21875" style="56" customWidth="1"/>
    <col min="26" max="29" width="8.5546875" style="56"/>
    <col min="30" max="30" width="14.6640625" style="215" customWidth="1"/>
    <col min="31" max="31" width="8.5546875" style="215"/>
    <col min="32" max="32" width="21.109375" style="56" customWidth="1"/>
    <col min="33" max="33" width="14.33203125" style="56" customWidth="1"/>
    <col min="34" max="34" width="19.88671875" style="56" customWidth="1"/>
    <col min="35" max="35" width="15.33203125" style="56" customWidth="1"/>
    <col min="36" max="36" width="15.77734375" style="56" customWidth="1"/>
    <col min="37" max="37" width="12.5546875" style="56" customWidth="1"/>
    <col min="38" max="38" width="22.21875" style="56" customWidth="1"/>
    <col min="39" max="40" width="8.5546875" style="56"/>
    <col min="41" max="41" width="11.109375" style="56" customWidth="1"/>
    <col min="42" max="42" width="13" style="56" customWidth="1"/>
    <col min="43" max="43" width="17.5546875" style="56" customWidth="1"/>
    <col min="44" max="44" width="19.33203125" style="56" customWidth="1"/>
    <col min="45" max="45" width="19.6640625" style="56" customWidth="1"/>
    <col min="46" max="49" width="8.5546875" style="56"/>
    <col min="50" max="50" width="14.77734375" style="56" customWidth="1"/>
    <col min="51" max="51" width="8.5546875" style="56"/>
    <col min="52" max="52" width="8.21875" style="56" customWidth="1"/>
    <col min="53" max="55" width="8.5546875" style="56"/>
    <col min="56" max="56" width="18.6640625" style="56" customWidth="1"/>
    <col min="57" max="57" width="9.77734375" style="56" customWidth="1"/>
    <col min="58" max="16384" width="8.5546875" style="56"/>
  </cols>
  <sheetData>
    <row r="1" spans="1:60" ht="14.4" thickBot="1" x14ac:dyDescent="0.3">
      <c r="A1" s="1791" t="s">
        <v>94</v>
      </c>
      <c r="B1" s="1791"/>
      <c r="C1" s="210"/>
      <c r="D1" s="210" t="s">
        <v>95</v>
      </c>
      <c r="E1" s="210"/>
      <c r="F1" s="210" t="s">
        <v>96</v>
      </c>
      <c r="G1" s="210" t="s">
        <v>97</v>
      </c>
      <c r="H1" s="211" t="s">
        <v>98</v>
      </c>
      <c r="L1" s="212" t="s">
        <v>99</v>
      </c>
      <c r="M1" s="213"/>
      <c r="N1" s="213"/>
      <c r="O1" s="213"/>
      <c r="P1" s="213"/>
      <c r="Q1" s="213"/>
      <c r="R1" s="213"/>
      <c r="S1" s="213"/>
      <c r="T1" s="213"/>
      <c r="U1" s="213"/>
      <c r="V1" s="214"/>
      <c r="AB1" s="215"/>
      <c r="AC1" s="215" t="s">
        <v>330</v>
      </c>
    </row>
    <row r="2" spans="1:60" ht="83.4" customHeight="1" thickBot="1" x14ac:dyDescent="0.3">
      <c r="A2" s="216"/>
      <c r="B2" s="217" t="s">
        <v>100</v>
      </c>
      <c r="C2" s="217" t="s">
        <v>101</v>
      </c>
      <c r="D2" s="217" t="s">
        <v>102</v>
      </c>
      <c r="E2" s="217" t="s">
        <v>103</v>
      </c>
      <c r="F2" s="217"/>
      <c r="G2" s="217" t="s">
        <v>104</v>
      </c>
      <c r="H2" s="217"/>
      <c r="I2" s="218"/>
      <c r="J2" s="219"/>
      <c r="L2" s="1516" t="s">
        <v>105</v>
      </c>
      <c r="M2" s="1516" t="s">
        <v>106</v>
      </c>
      <c r="N2" s="1516" t="s">
        <v>107</v>
      </c>
      <c r="O2" s="1517" t="s">
        <v>108</v>
      </c>
      <c r="P2" s="1517" t="s">
        <v>109</v>
      </c>
      <c r="Q2" s="1516" t="s">
        <v>110</v>
      </c>
      <c r="R2" s="1516" t="s">
        <v>111</v>
      </c>
      <c r="S2" s="1517" t="s">
        <v>112</v>
      </c>
      <c r="T2" s="1516" t="s">
        <v>113</v>
      </c>
      <c r="U2" s="1516" t="s">
        <v>114</v>
      </c>
      <c r="V2" s="1518" t="s">
        <v>115</v>
      </c>
      <c r="AB2" s="215"/>
      <c r="AC2" s="215">
        <f>'[2]Изложницы без бурта'!A2</f>
        <v>0</v>
      </c>
      <c r="AD2" s="215" t="str">
        <f>'[2]Изложницы без бурта'!B2</f>
        <v>Изложницы без бурта</v>
      </c>
      <c r="AE2" s="215">
        <f>'[2]Изложницы без бурта'!C2</f>
        <v>0</v>
      </c>
      <c r="AF2" s="56">
        <f>'[2]Изложницы без бурта'!D2</f>
        <v>0</v>
      </c>
      <c r="AG2" s="56">
        <f>'[2]Изложницы без бурта'!E2</f>
        <v>0</v>
      </c>
      <c r="AH2" s="56">
        <f>'[2]Изложницы без бурта'!F2</f>
        <v>0</v>
      </c>
      <c r="AI2" s="56">
        <f>'[2]Изложницы без бурта'!G2</f>
        <v>0</v>
      </c>
      <c r="AJ2" s="56">
        <f>'[2]Изложницы без бурта'!H2</f>
        <v>0</v>
      </c>
      <c r="AK2" s="56">
        <f>'[2]Изложницы без бурта'!I2</f>
        <v>0</v>
      </c>
      <c r="AL2" s="56">
        <f>'[2]Изложницы без бурта'!J2</f>
        <v>0</v>
      </c>
      <c r="AM2" s="56">
        <f>'[2]Изложницы без бурта'!K2</f>
        <v>0</v>
      </c>
      <c r="AR2" s="1803" t="s">
        <v>458</v>
      </c>
      <c r="AS2" s="1804"/>
      <c r="AT2" s="1804"/>
      <c r="AU2" s="1804"/>
      <c r="AV2" s="1804"/>
      <c r="AW2" s="1804"/>
      <c r="AX2" s="1805"/>
      <c r="AZ2" s="1797" t="s">
        <v>1151</v>
      </c>
      <c r="BA2" s="1798"/>
      <c r="BB2" s="1798"/>
      <c r="BC2" s="1798"/>
      <c r="BD2" s="1798"/>
      <c r="BE2" s="1798"/>
      <c r="BF2" s="1798"/>
      <c r="BG2" s="1798"/>
      <c r="BH2" s="1799"/>
    </row>
    <row r="3" spans="1:60" ht="58.2" thickBot="1" x14ac:dyDescent="0.35">
      <c r="A3" s="220" t="s">
        <v>9</v>
      </c>
      <c r="B3" s="221" t="s">
        <v>116</v>
      </c>
      <c r="C3" s="221" t="s">
        <v>116</v>
      </c>
      <c r="D3" s="221" t="s">
        <v>116</v>
      </c>
      <c r="E3" s="221" t="s">
        <v>116</v>
      </c>
      <c r="F3" s="221" t="s">
        <v>117</v>
      </c>
      <c r="G3" s="221" t="s">
        <v>92</v>
      </c>
      <c r="H3" s="221" t="s">
        <v>118</v>
      </c>
      <c r="I3" s="222">
        <v>9.1</v>
      </c>
      <c r="L3" s="134" t="str">
        <f>[1]Планки!H3</f>
        <v>б/н (Арконик)</v>
      </c>
      <c r="M3" s="134">
        <f>[1]Планки!I3</f>
        <v>480</v>
      </c>
      <c r="N3" s="134">
        <f>[1]Планки!J3</f>
        <v>100</v>
      </c>
      <c r="O3" s="224">
        <f>[1]Планки!K3</f>
        <v>380</v>
      </c>
      <c r="P3" s="224">
        <f>[1]Планки!L3</f>
        <v>1720</v>
      </c>
      <c r="Q3" s="134">
        <f>[1]Планки!M3</f>
        <v>1740</v>
      </c>
      <c r="R3" s="134">
        <f>[1]Планки!N3</f>
        <v>1760</v>
      </c>
      <c r="S3" s="224">
        <f>[1]Планки!O3</f>
        <v>26</v>
      </c>
      <c r="T3" s="134">
        <f>[1]Планки!P3</f>
        <v>40</v>
      </c>
      <c r="U3" s="134">
        <f>[1]Планки!Q3</f>
        <v>65</v>
      </c>
      <c r="V3" s="134" t="str">
        <f>[1]Планки!R3</f>
        <v>новая модель для Арконик, изготовитель: МЦ Гарант</v>
      </c>
      <c r="AB3" s="215"/>
      <c r="AC3" s="215">
        <f>'[2]Изложницы без бурта'!A3</f>
        <v>0</v>
      </c>
      <c r="AD3" s="215" t="str">
        <f>'[2]Изложницы без бурта'!B3</f>
        <v>Dвн (внутренний)</v>
      </c>
      <c r="AE3" s="215" t="str">
        <f>'[2]Изложницы без бурта'!C3</f>
        <v>L (длина)</v>
      </c>
      <c r="AF3" s="56" t="str">
        <f>'[2]Изложницы без бурта'!D3</f>
        <v>Dпос (посадочный)</v>
      </c>
      <c r="AG3" s="56" t="str">
        <f>'[2]Изложницы без бурта'!E3</f>
        <v>Dц (посадка на ц/б машину)</v>
      </c>
      <c r="AH3" s="56" t="str">
        <f>'[2]Изложницы без бурта'!F3</f>
        <v>Инв. Номер</v>
      </c>
      <c r="AI3" s="56" t="str">
        <f>'[2]Изложницы без бурта'!G3</f>
        <v>Старый присвоенный номер</v>
      </c>
      <c r="AJ3" s="56">
        <f>'[2]Изложницы без бурта'!H3</f>
        <v>0</v>
      </c>
      <c r="AK3" s="56">
        <f>'[2]Изложницы без бурта'!I3</f>
        <v>0</v>
      </c>
      <c r="AL3" s="56">
        <f>'[2]Изложницы без бурта'!J3</f>
        <v>0</v>
      </c>
      <c r="AM3" s="56">
        <f>'[2]Изложницы без бурта'!K3</f>
        <v>0</v>
      </c>
      <c r="AO3" s="357" t="s">
        <v>434</v>
      </c>
      <c r="AP3" s="357" t="s">
        <v>433</v>
      </c>
      <c r="AR3" s="361" t="s">
        <v>187</v>
      </c>
      <c r="AS3" s="362" t="s">
        <v>459</v>
      </c>
      <c r="AT3" s="362" t="s">
        <v>460</v>
      </c>
      <c r="AU3" s="362" t="s">
        <v>461</v>
      </c>
      <c r="AV3" s="363" t="s">
        <v>462</v>
      </c>
      <c r="AW3" s="364" t="s">
        <v>463</v>
      </c>
      <c r="AX3" s="365" t="s">
        <v>464</v>
      </c>
      <c r="AZ3" s="1213" t="s">
        <v>1145</v>
      </c>
      <c r="BA3" s="1214" t="s">
        <v>1146</v>
      </c>
      <c r="BB3" s="1215" t="s">
        <v>1147</v>
      </c>
      <c r="BC3" s="1214" t="s">
        <v>1148</v>
      </c>
      <c r="BD3" s="1214" t="s">
        <v>1149</v>
      </c>
      <c r="BE3" s="1214" t="s">
        <v>1142</v>
      </c>
      <c r="BF3" s="1214" t="s">
        <v>1143</v>
      </c>
      <c r="BG3" s="1214" t="s">
        <v>433</v>
      </c>
      <c r="BH3" s="1216" t="s">
        <v>1144</v>
      </c>
    </row>
    <row r="4" spans="1:60" ht="15" x14ac:dyDescent="0.25">
      <c r="A4" s="220" t="s">
        <v>25</v>
      </c>
      <c r="B4" s="221" t="s">
        <v>119</v>
      </c>
      <c r="C4" s="221" t="s">
        <v>119</v>
      </c>
      <c r="D4" s="221" t="s">
        <v>119</v>
      </c>
      <c r="E4" s="221" t="s">
        <v>119</v>
      </c>
      <c r="F4" s="221" t="s">
        <v>117</v>
      </c>
      <c r="G4" s="221" t="s">
        <v>120</v>
      </c>
      <c r="H4" s="221" t="s">
        <v>118</v>
      </c>
      <c r="I4" s="222">
        <v>9.3000000000000007</v>
      </c>
      <c r="L4" s="134">
        <f>[1]Планки!H4</f>
        <v>5</v>
      </c>
      <c r="M4" s="134">
        <f>[1]Планки!I4</f>
        <v>730</v>
      </c>
      <c r="N4" s="134">
        <f>[1]Планки!J4</f>
        <v>270</v>
      </c>
      <c r="O4" s="224">
        <f>[1]Планки!K4</f>
        <v>460</v>
      </c>
      <c r="P4" s="224">
        <f>[1]Планки!L4</f>
        <v>100</v>
      </c>
      <c r="Q4" s="134">
        <f>[1]Планки!M4</f>
        <v>110</v>
      </c>
      <c r="R4" s="134">
        <f>[1]Планки!N4</f>
        <v>166</v>
      </c>
      <c r="S4" s="224">
        <f>[1]Планки!O4</f>
        <v>115</v>
      </c>
      <c r="T4" s="134">
        <f>[1]Планки!P4</f>
        <v>125</v>
      </c>
      <c r="U4" s="134">
        <f>[1]Планки!Q4</f>
        <v>180</v>
      </c>
      <c r="V4" s="134">
        <f>[1]Планки!R4</f>
        <v>0</v>
      </c>
      <c r="AB4" s="215"/>
      <c r="AC4" s="215">
        <f>'[2]Изложницы без бурта'!A4</f>
        <v>0</v>
      </c>
      <c r="AD4" s="215">
        <f>'[2]Изложницы без бурта'!B4</f>
        <v>55</v>
      </c>
      <c r="AE4" s="215">
        <f>'[2]Изложницы без бурта'!C4</f>
        <v>245</v>
      </c>
      <c r="AF4" s="56">
        <f>'[2]Изложницы без бурта'!D4</f>
        <v>140</v>
      </c>
      <c r="AG4" s="56">
        <f>'[2]Изложницы без бурта'!E4</f>
        <v>115</v>
      </c>
      <c r="AH4" s="56">
        <f>'[2]Изложницы без бурта'!F4</f>
        <v>7211867</v>
      </c>
      <c r="AI4" s="56">
        <f>'[2]Изложницы без бурта'!G4</f>
        <v>7260001</v>
      </c>
      <c r="AJ4" s="56">
        <f>'[2]Изложницы без бурта'!H4</f>
        <v>0</v>
      </c>
      <c r="AK4" s="56">
        <f>'[2]Изложницы без бурта'!I4</f>
        <v>0</v>
      </c>
      <c r="AL4" s="56">
        <f>'[2]Изложницы без бурта'!J4</f>
        <v>0</v>
      </c>
      <c r="AM4" s="56">
        <f>'[2]Изложницы без бурта'!K4</f>
        <v>0</v>
      </c>
      <c r="AO4" s="357">
        <v>140</v>
      </c>
      <c r="AP4" s="357" t="s">
        <v>435</v>
      </c>
      <c r="AR4" s="358">
        <v>132</v>
      </c>
      <c r="AS4" s="358">
        <v>85</v>
      </c>
      <c r="AT4" s="358">
        <v>200</v>
      </c>
      <c r="AU4" s="358">
        <v>155</v>
      </c>
      <c r="AV4" s="358">
        <v>185</v>
      </c>
      <c r="AW4" s="358">
        <v>320</v>
      </c>
      <c r="AX4" s="385" t="s">
        <v>470</v>
      </c>
      <c r="AZ4" s="56">
        <f>[3]Изложницы!A2</f>
        <v>800</v>
      </c>
      <c r="BA4" s="56">
        <f>[3]Изложницы!B2</f>
        <v>825</v>
      </c>
      <c r="BB4" s="56">
        <f>[3]Изложницы!C2</f>
        <v>550</v>
      </c>
      <c r="BC4" s="56">
        <f>[3]Изложницы!D2</f>
        <v>920</v>
      </c>
      <c r="BD4" s="56">
        <f>[3]Изложницы!E2</f>
        <v>0</v>
      </c>
      <c r="BE4" s="56">
        <f>[3]Изложницы!F2</f>
        <v>0</v>
      </c>
      <c r="BF4" s="56">
        <f>[3]Изложницы!G2</f>
        <v>0</v>
      </c>
      <c r="BG4" s="56">
        <f>[3]Изложницы!H2</f>
        <v>0</v>
      </c>
      <c r="BH4" s="56">
        <f>[3]Изложницы!I2</f>
        <v>0</v>
      </c>
    </row>
    <row r="5" spans="1:60" ht="15.6" thickBot="1" x14ac:dyDescent="0.3">
      <c r="A5" s="220" t="s">
        <v>21</v>
      </c>
      <c r="B5" s="221" t="s">
        <v>119</v>
      </c>
      <c r="C5" s="221" t="s">
        <v>119</v>
      </c>
      <c r="D5" s="221" t="s">
        <v>119</v>
      </c>
      <c r="E5" s="221" t="s">
        <v>119</v>
      </c>
      <c r="F5" s="221" t="s">
        <v>121</v>
      </c>
      <c r="G5" s="221"/>
      <c r="H5" s="221" t="b">
        <f>G37</f>
        <v>0</v>
      </c>
      <c r="I5" s="222">
        <v>8.8800000000000008</v>
      </c>
      <c r="L5" s="134">
        <f>[1]Планки!H5</f>
        <v>3</v>
      </c>
      <c r="M5" s="134">
        <f>[1]Планки!I5</f>
        <v>750</v>
      </c>
      <c r="N5" s="134">
        <f>[1]Планки!J5</f>
        <v>280</v>
      </c>
      <c r="O5" s="224">
        <f>[1]Планки!K5</f>
        <v>470</v>
      </c>
      <c r="P5" s="224">
        <f>[1]Планки!L5</f>
        <v>130</v>
      </c>
      <c r="Q5" s="134">
        <f>[1]Планки!M5</f>
        <v>140</v>
      </c>
      <c r="R5" s="134">
        <f>[1]Планки!N5</f>
        <v>200</v>
      </c>
      <c r="S5" s="224">
        <f>[1]Планки!O5</f>
        <v>105</v>
      </c>
      <c r="T5" s="134">
        <f>[1]Планки!P5</f>
        <v>110</v>
      </c>
      <c r="U5" s="134">
        <f>[1]Планки!Q5</f>
        <v>175</v>
      </c>
      <c r="V5" s="134">
        <f>[1]Планки!R5</f>
        <v>0</v>
      </c>
      <c r="AB5" s="215"/>
      <c r="AC5" s="215">
        <f>'[2]Изложницы без бурта'!A5</f>
        <v>0</v>
      </c>
      <c r="AD5" s="215">
        <f>'[2]Изложницы без бурта'!B5</f>
        <v>55</v>
      </c>
      <c r="AE5" s="215">
        <f>'[2]Изложницы без бурта'!C5</f>
        <v>245</v>
      </c>
      <c r="AF5" s="56">
        <f>'[2]Изложницы без бурта'!D5</f>
        <v>140</v>
      </c>
      <c r="AG5" s="56">
        <f>'[2]Изложницы без бурта'!E5</f>
        <v>115</v>
      </c>
      <c r="AH5" s="56">
        <f>'[2]Изложницы без бурта'!F5</f>
        <v>7211867</v>
      </c>
      <c r="AI5" s="56">
        <f>'[2]Изложницы без бурта'!G5</f>
        <v>7260001</v>
      </c>
      <c r="AJ5" s="56">
        <f>'[2]Изложницы без бурта'!H5</f>
        <v>0</v>
      </c>
      <c r="AK5" s="56">
        <f>'[2]Изложницы без бурта'!I5</f>
        <v>0</v>
      </c>
      <c r="AL5" s="56">
        <f>'[2]Изложницы без бурта'!J5</f>
        <v>0</v>
      </c>
      <c r="AM5" s="56">
        <f>'[2]Изложницы без бурта'!K5</f>
        <v>0</v>
      </c>
      <c r="AO5" s="357">
        <v>185</v>
      </c>
      <c r="AP5" s="357" t="s">
        <v>436</v>
      </c>
      <c r="AR5" s="359">
        <v>110</v>
      </c>
      <c r="AS5" s="360">
        <v>92.5</v>
      </c>
      <c r="AT5" s="359">
        <v>200</v>
      </c>
      <c r="AU5" s="359">
        <v>155</v>
      </c>
      <c r="AV5" s="358">
        <v>185</v>
      </c>
      <c r="AW5" s="358">
        <v>320</v>
      </c>
      <c r="AX5" s="384" t="s">
        <v>476</v>
      </c>
      <c r="AZ5" s="56">
        <f>[3]Изложницы!A3</f>
        <v>650</v>
      </c>
      <c r="BA5" s="56">
        <f>[3]Изложницы!B3</f>
        <v>670</v>
      </c>
      <c r="BB5" s="56">
        <f>[3]Изложницы!C3</f>
        <v>860</v>
      </c>
      <c r="BC5" s="56">
        <f>[3]Изложницы!D3</f>
        <v>775</v>
      </c>
      <c r="BD5" s="56">
        <f>[3]Изложницы!E3</f>
        <v>0</v>
      </c>
      <c r="BE5" s="56">
        <f>[3]Изложницы!F3</f>
        <v>0</v>
      </c>
      <c r="BF5" s="56">
        <f>[3]Изложницы!G3</f>
        <v>0</v>
      </c>
      <c r="BG5" s="56">
        <f>[3]Изложницы!H3</f>
        <v>0</v>
      </c>
      <c r="BH5" s="56">
        <f>[3]Изложницы!I3</f>
        <v>0</v>
      </c>
    </row>
    <row r="6" spans="1:60" ht="15.6" thickBot="1" x14ac:dyDescent="0.3">
      <c r="A6" s="220" t="s">
        <v>123</v>
      </c>
      <c r="B6" s="221" t="s">
        <v>124</v>
      </c>
      <c r="C6" s="221" t="s">
        <v>124</v>
      </c>
      <c r="D6" s="221" t="s">
        <v>124</v>
      </c>
      <c r="E6" s="221" t="s">
        <v>124</v>
      </c>
      <c r="F6" s="221" t="s">
        <v>125</v>
      </c>
      <c r="G6" s="221"/>
      <c r="H6" s="221" t="s">
        <v>122</v>
      </c>
      <c r="I6" s="222">
        <v>8.6999999999999993</v>
      </c>
      <c r="L6" s="134">
        <f>[1]Планки!H6</f>
        <v>61</v>
      </c>
      <c r="M6" s="134">
        <f>[1]Планки!I6</f>
        <v>590</v>
      </c>
      <c r="N6" s="134">
        <f>[1]Планки!J6</f>
        <v>100</v>
      </c>
      <c r="O6" s="224">
        <f>[1]Планки!K6</f>
        <v>490</v>
      </c>
      <c r="P6" s="224">
        <f>[1]Планки!L6</f>
        <v>270</v>
      </c>
      <c r="Q6" s="134">
        <f>[1]Планки!M6</f>
        <v>285</v>
      </c>
      <c r="R6" s="134">
        <f>[1]Планки!N6</f>
        <v>310</v>
      </c>
      <c r="S6" s="224">
        <f>[1]Планки!O6</f>
        <v>25</v>
      </c>
      <c r="T6" s="134">
        <f>[1]Планки!P6</f>
        <v>33</v>
      </c>
      <c r="U6" s="134">
        <f>[1]Планки!Q6</f>
        <v>75</v>
      </c>
      <c r="V6" s="134">
        <f>[1]Планки!R6</f>
        <v>0</v>
      </c>
      <c r="AB6" s="215"/>
      <c r="AC6" s="215">
        <f>'[2]Изложницы без бурта'!A6</f>
        <v>0</v>
      </c>
      <c r="AD6" s="215">
        <f>'[2]Изложницы без бурта'!B6</f>
        <v>55</v>
      </c>
      <c r="AE6" s="215">
        <f>'[2]Изложницы без бурта'!C6</f>
        <v>245</v>
      </c>
      <c r="AF6" s="56">
        <f>'[2]Изложницы без бурта'!D6</f>
        <v>140</v>
      </c>
      <c r="AG6" s="56">
        <f>'[2]Изложницы без бурта'!E6</f>
        <v>115</v>
      </c>
      <c r="AH6" s="56">
        <f>'[2]Изложницы без бурта'!F6</f>
        <v>7211867</v>
      </c>
      <c r="AI6" s="56">
        <f>'[2]Изложницы без бурта'!G6</f>
        <v>7260001</v>
      </c>
      <c r="AJ6" s="56">
        <f>'[2]Изложницы без бурта'!H6</f>
        <v>0</v>
      </c>
      <c r="AK6" s="56">
        <f>'[2]Изложницы без бурта'!I6</f>
        <v>0</v>
      </c>
      <c r="AL6" s="56">
        <f>'[2]Изложницы без бурта'!J6</f>
        <v>0</v>
      </c>
      <c r="AM6" s="56">
        <f>'[2]Изложницы без бурта'!K6</f>
        <v>0</v>
      </c>
      <c r="AO6" s="357">
        <v>285</v>
      </c>
      <c r="AP6" s="357" t="s">
        <v>437</v>
      </c>
      <c r="AR6" s="366">
        <v>115</v>
      </c>
      <c r="AS6" s="367">
        <v>100</v>
      </c>
      <c r="AT6" s="368">
        <v>200</v>
      </c>
      <c r="AU6" s="359">
        <v>155</v>
      </c>
      <c r="AV6" s="358">
        <v>185</v>
      </c>
      <c r="AW6" s="358">
        <v>320</v>
      </c>
      <c r="AX6" s="384" t="s">
        <v>477</v>
      </c>
      <c r="AZ6" s="56">
        <f>[3]Изложницы!A4</f>
        <v>510</v>
      </c>
      <c r="BA6" s="56">
        <f>[3]Изложницы!B4</f>
        <v>530</v>
      </c>
      <c r="BB6" s="56">
        <f>[3]Изложницы!C4</f>
        <v>330</v>
      </c>
      <c r="BC6" s="56">
        <f>[3]Изложницы!D4</f>
        <v>566</v>
      </c>
      <c r="BD6" s="56" t="str">
        <f>[3]Изложницы!E4</f>
        <v>Н.Н.-29.11.2021</v>
      </c>
      <c r="BE6" s="56">
        <f>[3]Изложницы!F4</f>
        <v>0</v>
      </c>
      <c r="BF6" s="56">
        <f>[3]Изложницы!G4</f>
        <v>0</v>
      </c>
      <c r="BG6" s="56">
        <f>[3]Изложницы!H4</f>
        <v>0</v>
      </c>
      <c r="BH6" s="56">
        <f>[3]Изложницы!I4</f>
        <v>0</v>
      </c>
    </row>
    <row r="7" spans="1:60" ht="15.6" thickBot="1" x14ac:dyDescent="0.3">
      <c r="A7" s="226" t="s">
        <v>952</v>
      </c>
      <c r="B7" s="221" t="s">
        <v>124</v>
      </c>
      <c r="C7" s="221" t="s">
        <v>124</v>
      </c>
      <c r="D7" s="221" t="s">
        <v>124</v>
      </c>
      <c r="E7" s="221" t="s">
        <v>124</v>
      </c>
      <c r="F7" s="221" t="s">
        <v>117</v>
      </c>
      <c r="G7" s="221"/>
      <c r="H7" s="221" t="s">
        <v>118</v>
      </c>
      <c r="I7" s="222">
        <v>9.1999999999999993</v>
      </c>
      <c r="L7" s="134">
        <f>[1]Планки!H7</f>
        <v>23</v>
      </c>
      <c r="M7" s="134">
        <f>[1]Планки!I7</f>
        <v>590</v>
      </c>
      <c r="N7" s="134">
        <f>[1]Планки!J7</f>
        <v>100</v>
      </c>
      <c r="O7" s="224">
        <f>[1]Планки!K7</f>
        <v>490</v>
      </c>
      <c r="P7" s="224">
        <f>[1]Планки!L7</f>
        <v>420</v>
      </c>
      <c r="Q7" s="134">
        <f>[1]Планки!M7</f>
        <v>432</v>
      </c>
      <c r="R7" s="134">
        <f>[1]Планки!N7</f>
        <v>455</v>
      </c>
      <c r="S7" s="224">
        <f>[1]Планки!O7</f>
        <v>90</v>
      </c>
      <c r="T7" s="134">
        <f>[1]Планки!P7</f>
        <v>100</v>
      </c>
      <c r="U7" s="134">
        <f>[1]Планки!Q7</f>
        <v>140</v>
      </c>
      <c r="V7" s="134" t="str">
        <f>[1]Планки!R7</f>
        <v>модель нашита  (L4=25 L5=35 L6=75)</v>
      </c>
      <c r="AB7" s="215"/>
      <c r="AC7" s="215">
        <f>'[2]Изложницы без бурта'!A7</f>
        <v>0</v>
      </c>
      <c r="AD7" s="215">
        <f>'[2]Изложницы без бурта'!B7</f>
        <v>55</v>
      </c>
      <c r="AE7" s="215">
        <f>'[2]Изложницы без бурта'!C7</f>
        <v>245</v>
      </c>
      <c r="AF7" s="56">
        <f>'[2]Изложницы без бурта'!D7</f>
        <v>140</v>
      </c>
      <c r="AG7" s="56">
        <f>'[2]Изложницы без бурта'!E7</f>
        <v>115</v>
      </c>
      <c r="AH7" s="56">
        <f>'[2]Изложницы без бурта'!F7</f>
        <v>7211867</v>
      </c>
      <c r="AI7" s="56">
        <f>'[2]Изложницы без бурта'!G7</f>
        <v>7260001</v>
      </c>
      <c r="AJ7" s="56">
        <f>'[2]Изложницы без бурта'!H7</f>
        <v>0</v>
      </c>
      <c r="AK7" s="56">
        <f>'[2]Изложницы без бурта'!I7</f>
        <v>0</v>
      </c>
      <c r="AL7" s="56">
        <f>'[2]Изложницы без бурта'!J7</f>
        <v>0</v>
      </c>
      <c r="AM7" s="56">
        <f>'[2]Изложницы без бурта'!K7</f>
        <v>0</v>
      </c>
      <c r="AO7" s="357">
        <v>312</v>
      </c>
      <c r="AP7" s="357" t="s">
        <v>438</v>
      </c>
      <c r="AR7" s="369">
        <v>115</v>
      </c>
      <c r="AS7" s="367">
        <v>105</v>
      </c>
      <c r="AT7" s="368">
        <v>200</v>
      </c>
      <c r="AU7" s="359">
        <v>155</v>
      </c>
      <c r="AV7" s="358">
        <v>185</v>
      </c>
      <c r="AW7" s="358">
        <v>320</v>
      </c>
      <c r="AX7" s="384" t="s">
        <v>477</v>
      </c>
      <c r="AZ7" s="56">
        <f>[3]Изложницы!A5</f>
        <v>480</v>
      </c>
      <c r="BA7" s="56">
        <f>[3]Изложницы!B5</f>
        <v>510</v>
      </c>
      <c r="BB7" s="56">
        <f>[3]Изложницы!C5</f>
        <v>1100</v>
      </c>
      <c r="BC7" s="56">
        <f>[3]Изложницы!D5</f>
        <v>566</v>
      </c>
      <c r="BD7" s="56" t="str">
        <f>[3]Изложницы!E5</f>
        <v>есть нарощалки на низ кокиля Ø470х120, на верх кокиля Ø440х360 ВолгаСтальПроект</v>
      </c>
      <c r="BE7" s="56">
        <f>[3]Изложницы!F5</f>
        <v>650</v>
      </c>
      <c r="BF7" s="56">
        <f>[3]Изложницы!G5</f>
        <v>1750</v>
      </c>
      <c r="BG7" s="56" t="str">
        <f>[3]Изложницы!H5</f>
        <v>102.56.452</v>
      </c>
      <c r="BH7" s="56">
        <f>[3]Изложницы!I5</f>
        <v>0</v>
      </c>
    </row>
    <row r="8" spans="1:60" ht="16.5" customHeight="1" thickBot="1" x14ac:dyDescent="0.3">
      <c r="A8" s="226" t="s">
        <v>18</v>
      </c>
      <c r="B8" s="221" t="s">
        <v>124</v>
      </c>
      <c r="C8" s="221" t="s">
        <v>124</v>
      </c>
      <c r="D8" s="221" t="s">
        <v>124</v>
      </c>
      <c r="E8" s="221" t="s">
        <v>124</v>
      </c>
      <c r="F8" s="221" t="s">
        <v>850</v>
      </c>
      <c r="G8" s="221"/>
      <c r="H8" s="221" t="s">
        <v>122</v>
      </c>
      <c r="I8" s="222">
        <v>9.1999999999999993</v>
      </c>
      <c r="L8" s="134">
        <f>[1]Планки!H8</f>
        <v>25</v>
      </c>
      <c r="M8" s="134">
        <f>[1]Планки!I8</f>
        <v>670</v>
      </c>
      <c r="N8" s="134">
        <f>[1]Планки!J8</f>
        <v>150</v>
      </c>
      <c r="O8" s="224">
        <f>[1]Планки!K8</f>
        <v>520</v>
      </c>
      <c r="P8" s="224">
        <f>[1]Планки!L8</f>
        <v>150</v>
      </c>
      <c r="Q8" s="134">
        <f>[1]Планки!M8</f>
        <v>157</v>
      </c>
      <c r="R8" s="134">
        <f>[1]Планки!N8</f>
        <v>190</v>
      </c>
      <c r="S8" s="224">
        <f>[1]Планки!O8</f>
        <v>65</v>
      </c>
      <c r="T8" s="134">
        <f>[1]Планки!P8</f>
        <v>77</v>
      </c>
      <c r="U8" s="134">
        <f>[1]Планки!Q8</f>
        <v>135</v>
      </c>
      <c r="V8" s="134">
        <f>[1]Планки!R8</f>
        <v>0</v>
      </c>
      <c r="AB8" s="215"/>
      <c r="AC8" s="215">
        <f>'[2]Изложницы без бурта'!A8</f>
        <v>0</v>
      </c>
      <c r="AD8" s="215">
        <f>'[2]Изложницы без бурта'!B8</f>
        <v>57.5</v>
      </c>
      <c r="AE8" s="215">
        <f>'[2]Изложницы без бурта'!C8</f>
        <v>245</v>
      </c>
      <c r="AF8" s="56">
        <f>'[2]Изложницы без бурта'!D8</f>
        <v>140</v>
      </c>
      <c r="AG8" s="56">
        <f>'[2]Изложницы без бурта'!E8</f>
        <v>115</v>
      </c>
      <c r="AH8" s="56" t="str">
        <f>'[2]Изложницы без бурта'!F8</f>
        <v>7211867-1а</v>
      </c>
      <c r="AI8" s="56">
        <f>'[2]Изложницы без бурта'!G8</f>
        <v>0</v>
      </c>
      <c r="AJ8" s="56">
        <f>'[2]Изложницы без бурта'!H8</f>
        <v>0</v>
      </c>
      <c r="AK8" s="56">
        <f>'[2]Изложницы без бурта'!I8</f>
        <v>0</v>
      </c>
      <c r="AL8" s="56">
        <f>'[2]Изложницы без бурта'!J8</f>
        <v>0</v>
      </c>
      <c r="AM8" s="56">
        <f>'[2]Изложницы без бурта'!K8</f>
        <v>0</v>
      </c>
      <c r="AO8" s="357">
        <v>375</v>
      </c>
      <c r="AP8" s="357" t="s">
        <v>439</v>
      </c>
      <c r="AR8" s="367">
        <v>135</v>
      </c>
      <c r="AS8" s="367">
        <v>115</v>
      </c>
      <c r="AT8" s="368">
        <v>203</v>
      </c>
      <c r="AU8" s="359">
        <v>160</v>
      </c>
      <c r="AV8" s="358">
        <v>185</v>
      </c>
      <c r="AW8" s="358">
        <v>320</v>
      </c>
      <c r="AX8" s="384" t="s">
        <v>478</v>
      </c>
      <c r="AZ8" s="56">
        <f>[3]Изложницы!A6</f>
        <v>430</v>
      </c>
      <c r="BA8" s="56">
        <f>[3]Изложницы!B6</f>
        <v>450</v>
      </c>
      <c r="BB8" s="56">
        <f>[3]Изложницы!C6</f>
        <v>1250</v>
      </c>
      <c r="BC8" s="56">
        <f>[3]Изложницы!D6</f>
        <v>566</v>
      </c>
      <c r="BD8" s="56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6">
        <f>[3]Изложницы!F6</f>
        <v>650</v>
      </c>
      <c r="BF8" s="56">
        <f>[3]Изложницы!G6</f>
        <v>1750</v>
      </c>
      <c r="BG8" s="56" t="str">
        <f>[3]Изложницы!H6</f>
        <v>102.56.452</v>
      </c>
      <c r="BH8" s="56" t="str">
        <f>[3]Изложницы!I6</f>
        <v>расточили с 427/445 в июне 2020</v>
      </c>
    </row>
    <row r="9" spans="1:60" ht="15.6" thickBot="1" x14ac:dyDescent="0.3">
      <c r="A9" s="226" t="s">
        <v>13</v>
      </c>
      <c r="B9" s="221" t="s">
        <v>124</v>
      </c>
      <c r="C9" s="221" t="s">
        <v>124</v>
      </c>
      <c r="D9" s="221" t="s">
        <v>124</v>
      </c>
      <c r="E9" s="221" t="s">
        <v>124</v>
      </c>
      <c r="F9" s="221" t="s">
        <v>117</v>
      </c>
      <c r="G9" s="221"/>
      <c r="H9" s="221" t="s">
        <v>118</v>
      </c>
      <c r="I9" s="222">
        <v>9.1</v>
      </c>
      <c r="L9" s="134">
        <f>[1]Планки!H9</f>
        <v>64</v>
      </c>
      <c r="M9" s="134">
        <f>[1]Планки!I9</f>
        <v>600</v>
      </c>
      <c r="N9" s="134">
        <f>[1]Планки!J9</f>
        <v>75</v>
      </c>
      <c r="O9" s="224">
        <f>[1]Планки!K9</f>
        <v>525</v>
      </c>
      <c r="P9" s="224">
        <f>[1]Планки!L9</f>
        <v>200</v>
      </c>
      <c r="Q9" s="134">
        <f>[1]Планки!M9</f>
        <v>215</v>
      </c>
      <c r="R9" s="134">
        <f>[1]Планки!N9</f>
        <v>235</v>
      </c>
      <c r="S9" s="224">
        <f>[1]Планки!O9</f>
        <v>20</v>
      </c>
      <c r="T9" s="134">
        <f>[1]Планки!P9</f>
        <v>26</v>
      </c>
      <c r="U9" s="134">
        <f>[1]Планки!Q9</f>
        <v>60</v>
      </c>
      <c r="V9" s="134">
        <f>[1]Планки!R9</f>
        <v>0</v>
      </c>
      <c r="AB9" s="215"/>
      <c r="AC9" s="215">
        <f>'[2]Изложницы без бурта'!A9</f>
        <v>0</v>
      </c>
      <c r="AD9" s="215">
        <f>'[2]Изложницы без бурта'!B9</f>
        <v>57.5</v>
      </c>
      <c r="AE9" s="215">
        <f>'[2]Изложницы без бурта'!C9</f>
        <v>245</v>
      </c>
      <c r="AF9" s="56">
        <f>'[2]Изложницы без бурта'!D9</f>
        <v>140</v>
      </c>
      <c r="AG9" s="56">
        <f>'[2]Изложницы без бурта'!E9</f>
        <v>115</v>
      </c>
      <c r="AH9" s="56" t="str">
        <f>'[2]Изложницы без бурта'!F9</f>
        <v>7211867-1а</v>
      </c>
      <c r="AI9" s="56">
        <f>'[2]Изложницы без бурта'!G9</f>
        <v>0</v>
      </c>
      <c r="AJ9" s="56">
        <f>'[2]Изложницы без бурта'!H9</f>
        <v>0</v>
      </c>
      <c r="AK9" s="56">
        <f>'[2]Изложницы без бурта'!I9</f>
        <v>0</v>
      </c>
      <c r="AL9" s="56">
        <f>'[2]Изложницы без бурта'!J9</f>
        <v>0</v>
      </c>
      <c r="AM9" s="56">
        <f>'[2]Изложницы без бурта'!K9</f>
        <v>0</v>
      </c>
      <c r="AO9" s="357">
        <v>339</v>
      </c>
      <c r="AP9" s="357" t="s">
        <v>453</v>
      </c>
      <c r="AR9" s="370">
        <v>160</v>
      </c>
      <c r="AS9" s="367">
        <v>117.5</v>
      </c>
      <c r="AT9" s="368">
        <v>200</v>
      </c>
      <c r="AU9" s="359">
        <v>150</v>
      </c>
      <c r="AV9" s="359">
        <v>285</v>
      </c>
      <c r="AW9" s="358">
        <v>320</v>
      </c>
      <c r="AX9" s="384" t="s">
        <v>525</v>
      </c>
      <c r="AZ9" s="56">
        <f>[3]Изложницы!A7</f>
        <v>370</v>
      </c>
      <c r="BA9" s="56">
        <f>[3]Изложницы!B7</f>
        <v>400</v>
      </c>
      <c r="BB9" s="56">
        <f>[3]Изложницы!C7</f>
        <v>800</v>
      </c>
      <c r="BC9" s="56">
        <f>[3]Изложницы!D7</f>
        <v>470</v>
      </c>
      <c r="BD9" s="56">
        <f>[3]Изложницы!E7</f>
        <v>0</v>
      </c>
      <c r="BE9" s="56">
        <f>[3]Изложницы!F7</f>
        <v>610</v>
      </c>
      <c r="BF9" s="56">
        <f>[3]Изложницы!G7</f>
        <v>1300</v>
      </c>
      <c r="BG9" s="56" t="str">
        <f>[3]Изложницы!H7</f>
        <v>242.71.638</v>
      </c>
      <c r="BH9" s="56">
        <f>[3]Изложницы!I7</f>
        <v>0</v>
      </c>
    </row>
    <row r="10" spans="1:60" ht="15.6" thickBot="1" x14ac:dyDescent="0.3">
      <c r="A10" s="220" t="s">
        <v>15</v>
      </c>
      <c r="B10" s="221" t="s">
        <v>119</v>
      </c>
      <c r="C10" s="221" t="s">
        <v>119</v>
      </c>
      <c r="D10" s="221" t="s">
        <v>119</v>
      </c>
      <c r="E10" s="221" t="s">
        <v>119</v>
      </c>
      <c r="F10" s="221" t="s">
        <v>126</v>
      </c>
      <c r="G10" s="221"/>
      <c r="H10" s="221" t="b">
        <f>G37</f>
        <v>0</v>
      </c>
      <c r="I10" s="222">
        <v>8.8800000000000008</v>
      </c>
      <c r="L10" s="134">
        <f>[1]Планки!H10</f>
        <v>84</v>
      </c>
      <c r="M10" s="134">
        <f>[1]Планки!I10</f>
        <v>680</v>
      </c>
      <c r="N10" s="134">
        <f>[1]Планки!J10</f>
        <v>135</v>
      </c>
      <c r="O10" s="224">
        <f>[1]Планки!K10</f>
        <v>545</v>
      </c>
      <c r="P10" s="224">
        <f>[1]Планки!L10</f>
        <v>200</v>
      </c>
      <c r="Q10" s="134">
        <f>[1]Планки!M10</f>
        <v>212</v>
      </c>
      <c r="R10" s="134">
        <f>[1]Планки!N10</f>
        <v>250</v>
      </c>
      <c r="S10" s="224">
        <f>[1]Планки!O10</f>
        <v>78</v>
      </c>
      <c r="T10" s="134">
        <f>[1]Планки!P10</f>
        <v>80</v>
      </c>
      <c r="U10" s="134">
        <f>[1]Планки!Q10</f>
        <v>135</v>
      </c>
      <c r="V10" s="134" t="str">
        <f>[1]Планки!R10</f>
        <v>модель нашита  (L4=30 L5=35 L6=90)</v>
      </c>
      <c r="AB10" s="215"/>
      <c r="AC10" s="215">
        <f>'[2]Изложницы без бурта'!A10</f>
        <v>0</v>
      </c>
      <c r="AD10" s="215">
        <f>'[2]Изложницы без бурта'!B10</f>
        <v>60</v>
      </c>
      <c r="AE10" s="215">
        <f>'[2]Изложницы без бурта'!C10</f>
        <v>245</v>
      </c>
      <c r="AF10" s="56">
        <f>'[2]Изложницы без бурта'!D10</f>
        <v>140</v>
      </c>
      <c r="AG10" s="56">
        <f>'[2]Изложницы без бурта'!E10</f>
        <v>115</v>
      </c>
      <c r="AH10" s="56" t="str">
        <f>'[2]Изложницы без бурта'!F10</f>
        <v>7211867-1</v>
      </c>
      <c r="AI10" s="56">
        <f>'[2]Изложницы без бурта'!G10</f>
        <v>0</v>
      </c>
      <c r="AJ10" s="56">
        <f>'[2]Изложницы без бурта'!H10</f>
        <v>0</v>
      </c>
      <c r="AK10" s="56">
        <f>'[2]Изложницы без бурта'!I10</f>
        <v>0</v>
      </c>
      <c r="AL10" s="56">
        <f>'[2]Изложницы без бурта'!J10</f>
        <v>0</v>
      </c>
      <c r="AM10" s="56">
        <f>'[2]Изложницы без бурта'!K10</f>
        <v>0</v>
      </c>
      <c r="AO10" s="357">
        <v>360</v>
      </c>
      <c r="AP10" s="357" t="s">
        <v>440</v>
      </c>
      <c r="AR10" s="359">
        <v>140</v>
      </c>
      <c r="AS10" s="371">
        <v>120</v>
      </c>
      <c r="AT10" s="359">
        <v>200</v>
      </c>
      <c r="AU10" s="359">
        <v>155</v>
      </c>
      <c r="AV10" s="358">
        <v>185</v>
      </c>
      <c r="AW10" s="358">
        <v>320</v>
      </c>
      <c r="AX10" s="384" t="s">
        <v>479</v>
      </c>
      <c r="AZ10" s="56">
        <f>[3]Изложницы!A8</f>
        <v>350</v>
      </c>
      <c r="BA10" s="56">
        <f>[3]Изложницы!B8</f>
        <v>356</v>
      </c>
      <c r="BB10" s="56">
        <f>[3]Изложницы!C8</f>
        <v>560</v>
      </c>
      <c r="BC10" s="56">
        <f>[3]Изложницы!D8</f>
        <v>400</v>
      </c>
      <c r="BD10" s="56" t="str">
        <f>[3]Изложницы!E8</f>
        <v>Из цб кокиля Приварили, разрезали июль 2021</v>
      </c>
      <c r="BE10" s="56">
        <f>[3]Изложницы!F8</f>
        <v>0</v>
      </c>
      <c r="BF10" s="56">
        <f>[3]Изложницы!G8</f>
        <v>0</v>
      </c>
      <c r="BG10" s="56">
        <f>[3]Изложницы!H8</f>
        <v>0</v>
      </c>
      <c r="BH10" s="56">
        <f>[3]Изложницы!I8</f>
        <v>0</v>
      </c>
    </row>
    <row r="11" spans="1:60" ht="15.6" thickBot="1" x14ac:dyDescent="0.3">
      <c r="A11" s="387" t="s">
        <v>655</v>
      </c>
      <c r="B11" s="221" t="s">
        <v>119</v>
      </c>
      <c r="C11" s="221" t="s">
        <v>119</v>
      </c>
      <c r="D11" s="221" t="s">
        <v>119</v>
      </c>
      <c r="E11" s="221" t="s">
        <v>119</v>
      </c>
      <c r="F11" s="221" t="s">
        <v>126</v>
      </c>
      <c r="G11" s="221"/>
      <c r="H11" s="221" t="b">
        <f>G37</f>
        <v>0</v>
      </c>
      <c r="I11" s="222">
        <v>8.8800000000000008</v>
      </c>
      <c r="L11" s="134">
        <f>[1]Планки!H11</f>
        <v>141</v>
      </c>
      <c r="M11" s="134">
        <f>[1]Планки!I11</f>
        <v>710</v>
      </c>
      <c r="N11" s="134">
        <f>[1]Планки!J11</f>
        <v>150</v>
      </c>
      <c r="O11" s="224">
        <f>[1]Планки!K11</f>
        <v>560</v>
      </c>
      <c r="P11" s="224">
        <f>[1]Планки!L11</f>
        <v>1880</v>
      </c>
      <c r="Q11" s="134">
        <f>[1]Планки!M11</f>
        <v>1900</v>
      </c>
      <c r="R11" s="134">
        <f>[1]Планки!N11</f>
        <v>1920</v>
      </c>
      <c r="S11" s="224">
        <f>[1]Планки!O11</f>
        <v>43</v>
      </c>
      <c r="T11" s="134">
        <f>[1]Планки!P11</f>
        <v>60</v>
      </c>
      <c r="U11" s="134">
        <f>[1]Планки!Q11</f>
        <v>90</v>
      </c>
      <c r="V11" s="134" t="str">
        <f>[1]Планки!R11</f>
        <v>не нашивать - Костерин 11.09.2020</v>
      </c>
      <c r="AB11" s="215"/>
      <c r="AC11" s="215">
        <f>'[2]Изложницы без бурта'!A11</f>
        <v>0</v>
      </c>
      <c r="AD11" s="215">
        <f>'[2]Изложницы без бурта'!B11</f>
        <v>60</v>
      </c>
      <c r="AE11" s="215">
        <f>'[2]Изложницы без бурта'!C11</f>
        <v>245</v>
      </c>
      <c r="AF11" s="56">
        <f>'[2]Изложницы без бурта'!D11</f>
        <v>140</v>
      </c>
      <c r="AG11" s="56">
        <f>'[2]Изложницы без бурта'!E11</f>
        <v>115</v>
      </c>
      <c r="AH11" s="56" t="str">
        <f>'[2]Изложницы без бурта'!F11</f>
        <v>7211867-1</v>
      </c>
      <c r="AI11" s="56">
        <f>'[2]Изложницы без бурта'!G11</f>
        <v>0</v>
      </c>
      <c r="AJ11" s="56">
        <f>'[2]Изложницы без бурта'!H11</f>
        <v>0</v>
      </c>
      <c r="AK11" s="56">
        <f>'[2]Изложницы без бурта'!I11</f>
        <v>0</v>
      </c>
      <c r="AL11" s="56">
        <f>'[2]Изложницы без бурта'!J11</f>
        <v>0</v>
      </c>
      <c r="AM11" s="56">
        <f>'[2]Изложницы без бурта'!K11</f>
        <v>0</v>
      </c>
      <c r="AO11" s="357">
        <v>400</v>
      </c>
      <c r="AP11" s="357" t="s">
        <v>441</v>
      </c>
      <c r="AR11" s="366">
        <v>183</v>
      </c>
      <c r="AS11" s="367">
        <v>130</v>
      </c>
      <c r="AT11" s="368">
        <v>200</v>
      </c>
      <c r="AU11" s="359">
        <v>150</v>
      </c>
      <c r="AV11" s="359">
        <v>285</v>
      </c>
      <c r="AW11" s="358">
        <v>320</v>
      </c>
      <c r="AX11" s="384" t="s">
        <v>471</v>
      </c>
      <c r="AZ11" s="56">
        <f>[3]Изложницы!A9</f>
        <v>330</v>
      </c>
      <c r="BA11" s="56">
        <f>[3]Изложницы!B9</f>
        <v>370</v>
      </c>
      <c r="BB11" s="56">
        <f>[3]Изложницы!C9</f>
        <v>850</v>
      </c>
      <c r="BC11" s="56">
        <f>[3]Изложницы!D9</f>
        <v>470</v>
      </c>
      <c r="BD11" s="56">
        <f>[3]Изложницы!E9</f>
        <v>0</v>
      </c>
      <c r="BE11" s="56">
        <f>[3]Изложницы!F9</f>
        <v>610</v>
      </c>
      <c r="BF11" s="56">
        <f>[3]Изложницы!G9</f>
        <v>1300</v>
      </c>
      <c r="BG11" s="56" t="str">
        <f>[3]Изложницы!H9</f>
        <v>242.71.638</v>
      </c>
      <c r="BH11" s="56">
        <f>[3]Изложницы!I9</f>
        <v>0</v>
      </c>
    </row>
    <row r="12" spans="1:60" ht="15" x14ac:dyDescent="0.25">
      <c r="A12" s="220" t="s">
        <v>33</v>
      </c>
      <c r="B12" s="221" t="s">
        <v>129</v>
      </c>
      <c r="C12" s="221" t="s">
        <v>129</v>
      </c>
      <c r="D12" s="221" t="s">
        <v>129</v>
      </c>
      <c r="E12" s="221" t="s">
        <v>129</v>
      </c>
      <c r="F12" s="221" t="s">
        <v>131</v>
      </c>
      <c r="G12" s="221"/>
      <c r="H12" s="221" t="s">
        <v>132</v>
      </c>
      <c r="I12" s="222">
        <v>8.1</v>
      </c>
      <c r="L12" s="134">
        <f>[1]Планки!H12</f>
        <v>97</v>
      </c>
      <c r="M12" s="134">
        <f>[1]Планки!I12</f>
        <v>680</v>
      </c>
      <c r="N12" s="134">
        <f>[1]Планки!J12</f>
        <v>110</v>
      </c>
      <c r="O12" s="224">
        <f>[1]Планки!K12</f>
        <v>570</v>
      </c>
      <c r="P12" s="224">
        <f>[1]Планки!L12</f>
        <v>295</v>
      </c>
      <c r="Q12" s="134">
        <f>[1]Планки!M12</f>
        <v>305</v>
      </c>
      <c r="R12" s="134">
        <f>[1]Планки!N12</f>
        <v>355</v>
      </c>
      <c r="S12" s="224">
        <f>[1]Планки!O12</f>
        <v>27</v>
      </c>
      <c r="T12" s="134">
        <f>[1]Планки!P12</f>
        <v>38</v>
      </c>
      <c r="U12" s="134">
        <f>[1]Планки!Q12</f>
        <v>60</v>
      </c>
      <c r="V12" s="134">
        <f>[1]Планки!R12</f>
        <v>0</v>
      </c>
      <c r="AB12" s="215"/>
      <c r="AC12" s="215">
        <f>'[2]Изложницы без бурта'!A12</f>
        <v>0</v>
      </c>
      <c r="AD12" s="215">
        <f>'[2]Изложницы без бурта'!B12</f>
        <v>60</v>
      </c>
      <c r="AE12" s="215">
        <f>'[2]Изложницы без бурта'!C12</f>
        <v>245</v>
      </c>
      <c r="AF12" s="56">
        <f>'[2]Изложницы без бурта'!D12</f>
        <v>140</v>
      </c>
      <c r="AG12" s="56">
        <f>'[2]Изложницы без бурта'!E12</f>
        <v>115</v>
      </c>
      <c r="AH12" s="56" t="str">
        <f>'[2]Изложницы без бурта'!F12</f>
        <v>7211867-1</v>
      </c>
      <c r="AI12" s="56">
        <f>'[2]Изложницы без бурта'!G12</f>
        <v>0</v>
      </c>
      <c r="AJ12" s="56">
        <f>'[2]Изложницы без бурта'!H12</f>
        <v>0</v>
      </c>
      <c r="AK12" s="56">
        <f>'[2]Изложницы без бурта'!I12</f>
        <v>0</v>
      </c>
      <c r="AL12" s="56">
        <f>'[2]Изложницы без бурта'!J12</f>
        <v>0</v>
      </c>
      <c r="AM12" s="56">
        <f>'[2]Изложницы без бурта'!K12</f>
        <v>0</v>
      </c>
      <c r="AO12" s="357">
        <v>420</v>
      </c>
      <c r="AP12" s="357" t="s">
        <v>442</v>
      </c>
      <c r="AR12" s="359">
        <v>150</v>
      </c>
      <c r="AS12" s="358">
        <v>135</v>
      </c>
      <c r="AT12" s="359">
        <v>193</v>
      </c>
      <c r="AU12" s="359">
        <v>150</v>
      </c>
      <c r="AV12" s="358">
        <v>185</v>
      </c>
      <c r="AW12" s="358">
        <v>320</v>
      </c>
      <c r="AX12" s="384" t="s">
        <v>480</v>
      </c>
      <c r="AZ12" s="56">
        <f>[3]Изложницы!A10</f>
        <v>325</v>
      </c>
      <c r="BA12" s="56">
        <f>[3]Изложницы!B10</f>
        <v>370</v>
      </c>
      <c r="BB12" s="56">
        <f>[3]Изложницы!C10</f>
        <v>1000</v>
      </c>
      <c r="BC12" s="56">
        <f>[3]Изложницы!D10</f>
        <v>470</v>
      </c>
      <c r="BD12" s="56">
        <f>[3]Изложницы!E10</f>
        <v>0</v>
      </c>
      <c r="BE12" s="56">
        <f>[3]Изложницы!F10</f>
        <v>610</v>
      </c>
      <c r="BF12" s="56">
        <f>[3]Изложницы!G10</f>
        <v>1400</v>
      </c>
      <c r="BG12" s="56" t="str">
        <f>[3]Изложницы!H10</f>
        <v>242.71.638-1</v>
      </c>
      <c r="BH12" s="56">
        <f>[3]Изложницы!I10</f>
        <v>0</v>
      </c>
    </row>
    <row r="13" spans="1:60" ht="15.6" thickBot="1" x14ac:dyDescent="0.3">
      <c r="A13" s="220" t="s">
        <v>31</v>
      </c>
      <c r="B13" s="221" t="s">
        <v>129</v>
      </c>
      <c r="C13" s="221" t="s">
        <v>129</v>
      </c>
      <c r="D13" s="221" t="s">
        <v>129</v>
      </c>
      <c r="E13" s="221" t="s">
        <v>129</v>
      </c>
      <c r="F13" s="221" t="s">
        <v>131</v>
      </c>
      <c r="G13" s="221"/>
      <c r="H13" s="221" t="s">
        <v>132</v>
      </c>
      <c r="I13" s="222">
        <v>7.8</v>
      </c>
      <c r="L13" s="134">
        <f>[1]Планки!H13</f>
        <v>53</v>
      </c>
      <c r="M13" s="134">
        <f>[1]Планки!I13</f>
        <v>690</v>
      </c>
      <c r="N13" s="134">
        <f>[1]Планки!J13</f>
        <v>110</v>
      </c>
      <c r="O13" s="224">
        <f>[1]Планки!K13</f>
        <v>580</v>
      </c>
      <c r="P13" s="224">
        <f>[1]Планки!L13</f>
        <v>235</v>
      </c>
      <c r="Q13" s="134">
        <f>[1]Планки!M13</f>
        <v>247</v>
      </c>
      <c r="R13" s="134">
        <f>[1]Планки!N13</f>
        <v>265</v>
      </c>
      <c r="S13" s="224">
        <f>[1]Планки!O13</f>
        <v>64</v>
      </c>
      <c r="T13" s="134">
        <f>[1]Планки!P13</f>
        <v>74</v>
      </c>
      <c r="U13" s="134">
        <f>[1]Планки!Q13</f>
        <v>120</v>
      </c>
      <c r="V13" s="134" t="str">
        <f>[1]Планки!R13</f>
        <v>модель нашита  (L1=218 L2=229 L3=247 L4=27 L5=40 L6=80)</v>
      </c>
      <c r="AB13" s="215"/>
      <c r="AC13" s="215">
        <f>'[2]Изложницы без бурта'!A13</f>
        <v>0</v>
      </c>
      <c r="AD13" s="215">
        <f>'[2]Изложницы без бурта'!B13</f>
        <v>60</v>
      </c>
      <c r="AE13" s="215">
        <f>'[2]Изложницы без бурта'!C13</f>
        <v>245</v>
      </c>
      <c r="AF13" s="56">
        <f>'[2]Изложницы без бурта'!D13</f>
        <v>140</v>
      </c>
      <c r="AG13" s="56">
        <f>'[2]Изложницы без бурта'!E13</f>
        <v>115</v>
      </c>
      <c r="AH13" s="56" t="str">
        <f>'[2]Изложницы без бурта'!F13</f>
        <v>7211867-1</v>
      </c>
      <c r="AI13" s="56">
        <f>'[2]Изложницы без бурта'!G13</f>
        <v>0</v>
      </c>
      <c r="AJ13" s="56">
        <f>'[2]Изложницы без бурта'!H13</f>
        <v>0</v>
      </c>
      <c r="AK13" s="56">
        <f>'[2]Изложницы без бурта'!I13</f>
        <v>0</v>
      </c>
      <c r="AL13" s="56">
        <f>'[2]Изложницы без бурта'!J13</f>
        <v>0</v>
      </c>
      <c r="AM13" s="56">
        <f>'[2]Изложницы без бурта'!K13</f>
        <v>0</v>
      </c>
      <c r="AO13" s="357">
        <v>450</v>
      </c>
      <c r="AP13" s="357" t="s">
        <v>443</v>
      </c>
      <c r="AR13" s="360">
        <v>180</v>
      </c>
      <c r="AS13" s="359">
        <v>135</v>
      </c>
      <c r="AT13" s="359">
        <v>200</v>
      </c>
      <c r="AU13" s="359">
        <v>150</v>
      </c>
      <c r="AV13" s="359">
        <v>285</v>
      </c>
      <c r="AW13" s="358">
        <v>320</v>
      </c>
      <c r="AX13" s="384" t="s">
        <v>471</v>
      </c>
      <c r="AZ13" s="56">
        <f>[3]Изложницы!A11</f>
        <v>310</v>
      </c>
      <c r="BA13" s="56">
        <f>[3]Изложницы!B11</f>
        <v>330</v>
      </c>
      <c r="BB13" s="56">
        <f>[3]Изложницы!C11</f>
        <v>800</v>
      </c>
      <c r="BC13" s="56">
        <f>[3]Изложницы!D11</f>
        <v>400</v>
      </c>
      <c r="BD13" s="56" t="str">
        <f>[3]Изложницы!E11</f>
        <v>Внутри раковины, не используется</v>
      </c>
      <c r="BE13" s="56">
        <f>[3]Изложницы!F11</f>
        <v>0</v>
      </c>
      <c r="BF13" s="56">
        <f>[3]Изложницы!G11</f>
        <v>0</v>
      </c>
      <c r="BG13" s="56">
        <f>[3]Изложницы!H11</f>
        <v>0</v>
      </c>
      <c r="BH13" s="56">
        <f>[3]Изложницы!I11</f>
        <v>0</v>
      </c>
    </row>
    <row r="14" spans="1:60" ht="15.6" thickBot="1" x14ac:dyDescent="0.3">
      <c r="A14" s="226" t="s">
        <v>39</v>
      </c>
      <c r="B14" s="221" t="s">
        <v>129</v>
      </c>
      <c r="C14" s="221" t="s">
        <v>129</v>
      </c>
      <c r="D14" s="221" t="s">
        <v>129</v>
      </c>
      <c r="E14" s="221" t="s">
        <v>129</v>
      </c>
      <c r="F14" s="221" t="s">
        <v>131</v>
      </c>
      <c r="G14" s="221"/>
      <c r="H14" s="221" t="s">
        <v>132</v>
      </c>
      <c r="I14" s="222">
        <v>7.8</v>
      </c>
      <c r="L14" s="134">
        <f>[1]Планки!H14</f>
        <v>113</v>
      </c>
      <c r="M14" s="134">
        <f>[1]Планки!I14</f>
        <v>735</v>
      </c>
      <c r="N14" s="134">
        <f>[1]Планки!J14</f>
        <v>150</v>
      </c>
      <c r="O14" s="224">
        <f>[1]Планки!K14</f>
        <v>585</v>
      </c>
      <c r="P14" s="224">
        <f>[1]Планки!L14</f>
        <v>115</v>
      </c>
      <c r="Q14" s="134">
        <f>[1]Планки!M14</f>
        <v>120</v>
      </c>
      <c r="R14" s="134">
        <f>[1]Планки!N14</f>
        <v>160</v>
      </c>
      <c r="S14" s="224">
        <f>[1]Планки!O14</f>
        <v>70</v>
      </c>
      <c r="T14" s="134">
        <f>[1]Планки!P14</f>
        <v>75</v>
      </c>
      <c r="U14" s="134">
        <f>[1]Планки!Q14</f>
        <v>140</v>
      </c>
      <c r="V14" s="134" t="str">
        <f>[1]Планки!R14</f>
        <v>модель нашита  (L4=44 L5=50 L6=100)</v>
      </c>
      <c r="AB14" s="215"/>
      <c r="AC14" s="215">
        <f>'[2]Изложницы без бурта'!A14</f>
        <v>0</v>
      </c>
      <c r="AD14" s="215">
        <f>'[2]Изложницы без бурта'!B14</f>
        <v>60</v>
      </c>
      <c r="AE14" s="215">
        <f>'[2]Изложницы без бурта'!C14</f>
        <v>245</v>
      </c>
      <c r="AF14" s="56">
        <f>'[2]Изложницы без бурта'!D14</f>
        <v>140</v>
      </c>
      <c r="AG14" s="56">
        <f>'[2]Изложницы без бурта'!E14</f>
        <v>115</v>
      </c>
      <c r="AH14" s="56" t="str">
        <f>'[2]Изложницы без бурта'!F14</f>
        <v>7211867-1</v>
      </c>
      <c r="AI14" s="56">
        <f>'[2]Изложницы без бурта'!G14</f>
        <v>0</v>
      </c>
      <c r="AJ14" s="56">
        <f>'[2]Изложницы без бурта'!H14</f>
        <v>0</v>
      </c>
      <c r="AK14" s="56">
        <f>'[2]Изложницы без бурта'!I14</f>
        <v>0</v>
      </c>
      <c r="AL14" s="56">
        <f>'[2]Изложницы без бурта'!J14</f>
        <v>0</v>
      </c>
      <c r="AM14" s="56">
        <f>'[2]Изложницы без бурта'!K14</f>
        <v>0</v>
      </c>
      <c r="AO14" s="357">
        <v>470</v>
      </c>
      <c r="AP14" s="357" t="s">
        <v>444</v>
      </c>
      <c r="AR14" s="367">
        <v>220</v>
      </c>
      <c r="AS14" s="372">
        <v>135</v>
      </c>
      <c r="AT14" s="359">
        <v>320</v>
      </c>
      <c r="AU14" s="359">
        <v>260</v>
      </c>
      <c r="AV14" s="359">
        <v>285</v>
      </c>
      <c r="AW14" s="358">
        <v>320</v>
      </c>
      <c r="AX14" s="384" t="s">
        <v>526</v>
      </c>
      <c r="AZ14" s="56">
        <f>[3]Изложницы!A12</f>
        <v>330</v>
      </c>
      <c r="BA14" s="56">
        <f>[3]Изложницы!B12</f>
        <v>330</v>
      </c>
      <c r="BB14" s="56">
        <f>[3]Изложницы!C12</f>
        <v>240</v>
      </c>
      <c r="BC14" s="56">
        <f>[3]Изложницы!D12</f>
        <v>0</v>
      </c>
      <c r="BD14" s="56">
        <f>[3]Изложницы!E12</f>
        <v>0</v>
      </c>
      <c r="BE14" s="56">
        <f>[3]Изложницы!F12</f>
        <v>0</v>
      </c>
      <c r="BF14" s="56">
        <f>[3]Изложницы!G12</f>
        <v>0</v>
      </c>
      <c r="BG14" s="56">
        <f>[3]Изложницы!H12</f>
        <v>0</v>
      </c>
      <c r="BH14" s="56">
        <f>[3]Изложницы!I12</f>
        <v>0</v>
      </c>
    </row>
    <row r="15" spans="1:60" ht="15.6" thickBot="1" x14ac:dyDescent="0.3">
      <c r="A15" s="226" t="s">
        <v>35</v>
      </c>
      <c r="B15" s="221" t="s">
        <v>129</v>
      </c>
      <c r="C15" s="221" t="s">
        <v>129</v>
      </c>
      <c r="D15" s="221" t="s">
        <v>129</v>
      </c>
      <c r="E15" s="221" t="s">
        <v>129</v>
      </c>
      <c r="F15" s="221" t="s">
        <v>131</v>
      </c>
      <c r="G15" s="221"/>
      <c r="H15" s="221" t="s">
        <v>132</v>
      </c>
      <c r="I15" s="222">
        <v>7.6</v>
      </c>
      <c r="L15" s="134">
        <f>[1]Планки!H15</f>
        <v>96</v>
      </c>
      <c r="M15" s="134">
        <f>[1]Планки!I15</f>
        <v>735</v>
      </c>
      <c r="N15" s="134">
        <f>[1]Планки!J15</f>
        <v>150</v>
      </c>
      <c r="O15" s="224">
        <f>[1]Планки!K15</f>
        <v>585</v>
      </c>
      <c r="P15" s="224">
        <f>[1]Планки!L15</f>
        <v>185</v>
      </c>
      <c r="Q15" s="134">
        <f>[1]Планки!M15</f>
        <v>195</v>
      </c>
      <c r="R15" s="134">
        <f>[1]Планки!N15</f>
        <v>235</v>
      </c>
      <c r="S15" s="224">
        <f>[1]Планки!O15</f>
        <v>37</v>
      </c>
      <c r="T15" s="134">
        <f>[1]Планки!P15</f>
        <v>45</v>
      </c>
      <c r="U15" s="134">
        <f>[1]Планки!Q15</f>
        <v>115</v>
      </c>
      <c r="V15" s="134">
        <f>[1]Планки!R15</f>
        <v>0</v>
      </c>
      <c r="AB15" s="215"/>
      <c r="AC15" s="215">
        <f>'[2]Изложницы без бурта'!A15</f>
        <v>0</v>
      </c>
      <c r="AD15" s="215">
        <f>'[2]Изложницы без бурта'!B15</f>
        <v>60</v>
      </c>
      <c r="AE15" s="215">
        <f>'[2]Изложницы без бурта'!C15</f>
        <v>245</v>
      </c>
      <c r="AF15" s="56">
        <f>'[2]Изложницы без бурта'!D15</f>
        <v>140</v>
      </c>
      <c r="AG15" s="56">
        <f>'[2]Изложницы без бурта'!E15</f>
        <v>115</v>
      </c>
      <c r="AH15" s="56" t="str">
        <f>'[2]Изложницы без бурта'!F15</f>
        <v>7211867-1</v>
      </c>
      <c r="AI15" s="56">
        <f>'[2]Изложницы без бурта'!G15</f>
        <v>0</v>
      </c>
      <c r="AJ15" s="56">
        <f>'[2]Изложницы без бурта'!H15</f>
        <v>0</v>
      </c>
      <c r="AK15" s="56">
        <f>'[2]Изложницы без бурта'!I15</f>
        <v>0</v>
      </c>
      <c r="AL15" s="56">
        <f>'[2]Изложницы без бурта'!J15</f>
        <v>0</v>
      </c>
      <c r="AM15" s="56">
        <f>'[2]Изложницы без бурта'!K15</f>
        <v>0</v>
      </c>
      <c r="AO15" s="357">
        <v>500</v>
      </c>
      <c r="AP15" s="357" t="s">
        <v>445</v>
      </c>
      <c r="AR15" s="370">
        <v>226</v>
      </c>
      <c r="AS15" s="367">
        <v>140</v>
      </c>
      <c r="AT15" s="368">
        <v>265</v>
      </c>
      <c r="AU15" s="359">
        <v>203</v>
      </c>
      <c r="AV15" s="359">
        <v>285</v>
      </c>
      <c r="AW15" s="358">
        <v>320</v>
      </c>
      <c r="AX15" s="384" t="s">
        <v>481</v>
      </c>
      <c r="AZ15" s="56">
        <f>[3]Изложницы!A13</f>
        <v>275</v>
      </c>
      <c r="BA15" s="56">
        <f>[3]Изложницы!B13</f>
        <v>290</v>
      </c>
      <c r="BB15" s="56">
        <f>[3]Изложницы!C13</f>
        <v>800</v>
      </c>
      <c r="BC15" s="56">
        <f>[3]Изложницы!D13</f>
        <v>315</v>
      </c>
      <c r="BD15" s="56" t="str">
        <f>[3]Изложницы!E13</f>
        <v>Большая трещина</v>
      </c>
      <c r="BE15" s="56">
        <f>[3]Изложницы!F13</f>
        <v>0</v>
      </c>
      <c r="BF15" s="56">
        <f>[3]Изложницы!G13</f>
        <v>0</v>
      </c>
      <c r="BG15" s="56">
        <f>[3]Изложницы!H13</f>
        <v>0</v>
      </c>
      <c r="BH15" s="56">
        <f>[3]Изложницы!I13</f>
        <v>0</v>
      </c>
    </row>
    <row r="16" spans="1:60" ht="15" x14ac:dyDescent="0.25">
      <c r="A16" s="220" t="s">
        <v>133</v>
      </c>
      <c r="B16" s="221" t="s">
        <v>134</v>
      </c>
      <c r="C16" s="221" t="s">
        <v>134</v>
      </c>
      <c r="D16" s="221" t="s">
        <v>134</v>
      </c>
      <c r="E16" s="221" t="s">
        <v>134</v>
      </c>
      <c r="F16" s="221" t="s">
        <v>135</v>
      </c>
      <c r="G16" s="221"/>
      <c r="H16" s="221" t="s">
        <v>122</v>
      </c>
      <c r="I16" s="222">
        <v>8.5</v>
      </c>
      <c r="L16" s="134">
        <f>[1]Планки!H16</f>
        <v>50</v>
      </c>
      <c r="M16" s="134">
        <f>[1]Планки!I16</f>
        <v>690</v>
      </c>
      <c r="N16" s="134">
        <f>[1]Планки!J16</f>
        <v>100</v>
      </c>
      <c r="O16" s="224">
        <f>[1]Планки!K16</f>
        <v>590</v>
      </c>
      <c r="P16" s="224">
        <f>[1]Планки!L16</f>
        <v>227</v>
      </c>
      <c r="Q16" s="134">
        <f>[1]Планки!M16</f>
        <v>240</v>
      </c>
      <c r="R16" s="134">
        <f>[1]Планки!N16</f>
        <v>270</v>
      </c>
      <c r="S16" s="224">
        <f>[1]Планки!O16</f>
        <v>28</v>
      </c>
      <c r="T16" s="134">
        <f>[1]Планки!P16</f>
        <v>38</v>
      </c>
      <c r="U16" s="134">
        <f>[1]Планки!Q16</f>
        <v>80</v>
      </c>
      <c r="V16" s="134">
        <f>[1]Планки!R16</f>
        <v>0</v>
      </c>
      <c r="AB16" s="215"/>
      <c r="AC16" s="215">
        <f>'[2]Изложницы без бурта'!A16</f>
        <v>0</v>
      </c>
      <c r="AD16" s="215">
        <f>'[2]Изложницы без бурта'!B16</f>
        <v>60</v>
      </c>
      <c r="AE16" s="215">
        <f>'[2]Изложницы без бурта'!C16</f>
        <v>245</v>
      </c>
      <c r="AF16" s="56">
        <f>'[2]Изложницы без бурта'!D16</f>
        <v>140</v>
      </c>
      <c r="AG16" s="56">
        <f>'[2]Изложницы без бурта'!E16</f>
        <v>115</v>
      </c>
      <c r="AH16" s="56" t="str">
        <f>'[2]Изложницы без бурта'!F16</f>
        <v>7211867-1</v>
      </c>
      <c r="AI16" s="56">
        <f>'[2]Изложницы без бурта'!G16</f>
        <v>0</v>
      </c>
      <c r="AJ16" s="56">
        <f>'[2]Изложницы без бурта'!H16</f>
        <v>0</v>
      </c>
      <c r="AK16" s="56">
        <f>'[2]Изложницы без бурта'!I16</f>
        <v>0</v>
      </c>
      <c r="AL16" s="56">
        <f>'[2]Изложницы без бурта'!J16</f>
        <v>0</v>
      </c>
      <c r="AM16" s="56">
        <f>'[2]Изложницы без бурта'!K16</f>
        <v>0</v>
      </c>
      <c r="AO16" s="357">
        <v>520</v>
      </c>
      <c r="AP16" s="357" t="s">
        <v>446</v>
      </c>
      <c r="AR16" s="359">
        <v>160</v>
      </c>
      <c r="AS16" s="358">
        <v>142.5</v>
      </c>
      <c r="AT16" s="359">
        <v>200</v>
      </c>
      <c r="AU16" s="359">
        <v>150</v>
      </c>
      <c r="AV16" s="359">
        <v>285</v>
      </c>
      <c r="AW16" s="358">
        <v>320</v>
      </c>
      <c r="AX16" s="384" t="s">
        <v>482</v>
      </c>
      <c r="AZ16" s="56">
        <f>[3]Изложницы!A14</f>
        <v>250</v>
      </c>
      <c r="BA16" s="56">
        <f>[3]Изложницы!B14</f>
        <v>270</v>
      </c>
      <c r="BB16" s="56">
        <f>[3]Изложницы!C14</f>
        <v>800</v>
      </c>
      <c r="BC16" s="56">
        <f>[3]Изложницы!D14</f>
        <v>400</v>
      </c>
      <c r="BD16" s="56">
        <f>[3]Изложницы!E14</f>
        <v>0</v>
      </c>
      <c r="BE16" s="56">
        <f>[3]Изложницы!F14</f>
        <v>450</v>
      </c>
      <c r="BF16" s="56">
        <f>[3]Изложницы!G14</f>
        <v>600</v>
      </c>
      <c r="BG16" s="56" t="str">
        <f>[3]Изложницы!H14</f>
        <v>242.71.635</v>
      </c>
      <c r="BH16" s="56">
        <f>[3]Изложницы!I14</f>
        <v>0</v>
      </c>
    </row>
    <row r="17" spans="1:60" ht="15" x14ac:dyDescent="0.25">
      <c r="A17" s="220" t="s">
        <v>127</v>
      </c>
      <c r="B17" s="221" t="s">
        <v>128</v>
      </c>
      <c r="C17" s="221" t="s">
        <v>129</v>
      </c>
      <c r="D17" s="221" t="s">
        <v>119</v>
      </c>
      <c r="E17" s="221" t="s">
        <v>130</v>
      </c>
      <c r="F17" s="221" t="s">
        <v>131</v>
      </c>
      <c r="G17" s="221"/>
      <c r="H17" s="221" t="s">
        <v>132</v>
      </c>
      <c r="I17" s="222">
        <v>7.5</v>
      </c>
      <c r="L17" s="134">
        <f>[1]Планки!H17</f>
        <v>49</v>
      </c>
      <c r="M17" s="134">
        <f>[1]Планки!I17</f>
        <v>780</v>
      </c>
      <c r="N17" s="134">
        <f>[1]Планки!J17</f>
        <v>190</v>
      </c>
      <c r="O17" s="224">
        <f>[1]Планки!K17</f>
        <v>590</v>
      </c>
      <c r="P17" s="224">
        <f>[1]Планки!L17</f>
        <v>265</v>
      </c>
      <c r="Q17" s="134">
        <f>[1]Планки!M17</f>
        <v>270</v>
      </c>
      <c r="R17" s="134">
        <f>[1]Планки!N17</f>
        <v>320</v>
      </c>
      <c r="S17" s="224">
        <f>[1]Планки!O17</f>
        <v>50</v>
      </c>
      <c r="T17" s="134">
        <f>[1]Планки!P17</f>
        <v>60</v>
      </c>
      <c r="U17" s="134">
        <f>[1]Планки!Q17</f>
        <v>140</v>
      </c>
      <c r="V17" s="134" t="str">
        <f>[1]Планки!R17</f>
        <v>модель нашита  (L4=45 L5=55 L6=135) +2 бурта</v>
      </c>
      <c r="AB17" s="215"/>
      <c r="AC17" s="215">
        <f>'[2]Изложницы без бурта'!A17</f>
        <v>0</v>
      </c>
      <c r="AD17" s="215">
        <f>'[2]Изложницы без бурта'!B17</f>
        <v>60</v>
      </c>
      <c r="AE17" s="215">
        <f>'[2]Изложницы без бурта'!C17</f>
        <v>245</v>
      </c>
      <c r="AF17" s="56">
        <f>'[2]Изложницы без бурта'!D17</f>
        <v>140</v>
      </c>
      <c r="AG17" s="56">
        <f>'[2]Изложницы без бурта'!E17</f>
        <v>115</v>
      </c>
      <c r="AH17" s="56" t="str">
        <f>'[2]Изложницы без бурта'!F17</f>
        <v>7211867-1</v>
      </c>
      <c r="AI17" s="56">
        <f>'[2]Изложницы без бурта'!G17</f>
        <v>0</v>
      </c>
      <c r="AJ17" s="56">
        <f>'[2]Изложницы без бурта'!H17</f>
        <v>0</v>
      </c>
      <c r="AK17" s="56">
        <f>'[2]Изложницы без бурта'!I17</f>
        <v>0</v>
      </c>
      <c r="AL17" s="56">
        <f>'[2]Изложницы без бурта'!J17</f>
        <v>0</v>
      </c>
      <c r="AM17" s="56">
        <f>'[2]Изложницы без бурта'!K17</f>
        <v>0</v>
      </c>
      <c r="AO17" s="357">
        <v>550</v>
      </c>
      <c r="AP17" s="357" t="s">
        <v>447</v>
      </c>
      <c r="AR17" s="359">
        <v>161</v>
      </c>
      <c r="AS17" s="359">
        <v>145</v>
      </c>
      <c r="AT17" s="359">
        <v>200</v>
      </c>
      <c r="AU17" s="359">
        <v>150</v>
      </c>
      <c r="AV17" s="359">
        <v>285</v>
      </c>
      <c r="AW17" s="358">
        <v>320</v>
      </c>
      <c r="AX17" s="384" t="s">
        <v>482</v>
      </c>
      <c r="AZ17" s="56">
        <f>[3]Изложницы!A15</f>
        <v>250</v>
      </c>
      <c r="BA17" s="56">
        <f>[3]Изложницы!B15</f>
        <v>270</v>
      </c>
      <c r="BB17" s="56">
        <f>[3]Изложницы!C15</f>
        <v>800</v>
      </c>
      <c r="BC17" s="56">
        <f>[3]Изложницы!D15</f>
        <v>400</v>
      </c>
      <c r="BD17" s="56" t="str">
        <f>[3]Изложницы!E15</f>
        <v>есть нарощалка Ø340х250</v>
      </c>
      <c r="BE17" s="56">
        <f>[3]Изложницы!F15</f>
        <v>450</v>
      </c>
      <c r="BF17" s="56">
        <f>[3]Изложницы!G15</f>
        <v>600</v>
      </c>
      <c r="BG17" s="56" t="str">
        <f>[3]Изложницы!H15</f>
        <v>242.71.635</v>
      </c>
      <c r="BH17" s="56">
        <f>[3]Изложницы!I15</f>
        <v>0</v>
      </c>
    </row>
    <row r="18" spans="1:60" ht="15" x14ac:dyDescent="0.25">
      <c r="A18" s="220" t="s">
        <v>37</v>
      </c>
      <c r="B18" s="221" t="s">
        <v>128</v>
      </c>
      <c r="C18" s="221" t="s">
        <v>129</v>
      </c>
      <c r="D18" s="221" t="s">
        <v>119</v>
      </c>
      <c r="E18" s="221" t="s">
        <v>130</v>
      </c>
      <c r="F18" s="221" t="s">
        <v>131</v>
      </c>
      <c r="G18" s="221"/>
      <c r="H18" s="221" t="s">
        <v>132</v>
      </c>
      <c r="I18" s="222">
        <v>7.5</v>
      </c>
      <c r="L18" s="134">
        <f>[1]Планки!H18</f>
        <v>52</v>
      </c>
      <c r="M18" s="134">
        <f>[1]Планки!I18</f>
        <v>690</v>
      </c>
      <c r="N18" s="134">
        <f>[1]Планки!J18</f>
        <v>100</v>
      </c>
      <c r="O18" s="224">
        <f>[1]Планки!K18</f>
        <v>590</v>
      </c>
      <c r="P18" s="224">
        <f>[1]Планки!L18</f>
        <v>272</v>
      </c>
      <c r="Q18" s="134">
        <f>[1]Планки!M18</f>
        <v>285</v>
      </c>
      <c r="R18" s="134">
        <f>[1]Планки!N18</f>
        <v>295</v>
      </c>
      <c r="S18" s="224">
        <f>[1]Планки!O18</f>
        <v>125</v>
      </c>
      <c r="T18" s="134">
        <f>[1]Планки!P18</f>
        <v>130</v>
      </c>
      <c r="U18" s="134">
        <f>[1]Планки!Q18</f>
        <v>175</v>
      </c>
      <c r="V18" s="134" t="str">
        <f>[1]Планки!R18</f>
        <v>модель нашита  (L4=27 L5=35 L6=100)</v>
      </c>
      <c r="AB18" s="215"/>
      <c r="AC18" s="215">
        <f>'[2]Изложницы без бурта'!A18</f>
        <v>0</v>
      </c>
      <c r="AD18" s="215">
        <f>'[2]Изложницы без бурта'!B18</f>
        <v>60</v>
      </c>
      <c r="AE18" s="215">
        <f>'[2]Изложницы без бурта'!C18</f>
        <v>242</v>
      </c>
      <c r="AF18" s="56">
        <f>'[2]Изложницы без бурта'!D18</f>
        <v>140</v>
      </c>
      <c r="AG18" s="56">
        <f>'[2]Изложницы без бурта'!E18</f>
        <v>115</v>
      </c>
      <c r="AH18" s="56" t="str">
        <f>'[2]Изложницы без бурта'!F18</f>
        <v>7211867-1</v>
      </c>
      <c r="AI18" s="56">
        <f>'[2]Изложницы без бурта'!G18</f>
        <v>0</v>
      </c>
      <c r="AJ18" s="56">
        <f>'[2]Изложницы без бурта'!H18</f>
        <v>0</v>
      </c>
      <c r="AK18" s="56">
        <f>'[2]Изложницы без бурта'!I18</f>
        <v>0</v>
      </c>
      <c r="AL18" s="56">
        <f>'[2]Изложницы без бурта'!J18</f>
        <v>0</v>
      </c>
      <c r="AM18" s="56">
        <f>'[2]Изложницы без бурта'!K18</f>
        <v>0</v>
      </c>
      <c r="AO18" s="357">
        <v>570</v>
      </c>
      <c r="AP18" s="357" t="s">
        <v>448</v>
      </c>
      <c r="AR18" s="359">
        <v>161</v>
      </c>
      <c r="AS18" s="359">
        <v>145</v>
      </c>
      <c r="AT18" s="359">
        <v>200</v>
      </c>
      <c r="AU18" s="359">
        <v>148</v>
      </c>
      <c r="AV18" s="359">
        <v>285</v>
      </c>
      <c r="AW18" s="358">
        <v>320</v>
      </c>
      <c r="AX18" s="384" t="s">
        <v>482</v>
      </c>
      <c r="AZ18" s="56">
        <f>[3]Изложницы!A16</f>
        <v>240</v>
      </c>
      <c r="BA18" s="56">
        <f>[3]Изложницы!B16</f>
        <v>250</v>
      </c>
      <c r="BB18" s="56">
        <f>[3]Изложницы!C16</f>
        <v>800</v>
      </c>
      <c r="BC18" s="56">
        <f>[3]Изложницы!D16</f>
        <v>315</v>
      </c>
      <c r="BD18" s="56" t="str">
        <f>[3]Изложницы!E16</f>
        <v>переточен с 220/230  Большая трещина</v>
      </c>
      <c r="BE18" s="56">
        <f>[3]Изложницы!F16</f>
        <v>0</v>
      </c>
      <c r="BF18" s="56" t="str">
        <f>[3]Изложницы!G16</f>
        <v>Костерин С.П. 22.03.2021</v>
      </c>
      <c r="BG18" s="56">
        <f>[3]Изложницы!H16</f>
        <v>0</v>
      </c>
      <c r="BH18" s="56" t="str">
        <f>[3]Изложницы!I16</f>
        <v>Ковалев</v>
      </c>
    </row>
    <row r="19" spans="1:60" ht="15" x14ac:dyDescent="0.25">
      <c r="A19" s="220" t="s">
        <v>28</v>
      </c>
      <c r="B19" s="221" t="s">
        <v>128</v>
      </c>
      <c r="C19" s="221" t="s">
        <v>129</v>
      </c>
      <c r="D19" s="221" t="s">
        <v>119</v>
      </c>
      <c r="E19" s="221" t="s">
        <v>130</v>
      </c>
      <c r="F19" s="221" t="s">
        <v>131</v>
      </c>
      <c r="G19" s="221"/>
      <c r="H19" s="221" t="s">
        <v>132</v>
      </c>
      <c r="I19" s="222">
        <v>7.5</v>
      </c>
      <c r="L19" s="134">
        <f>[1]Планки!H19</f>
        <v>83</v>
      </c>
      <c r="M19" s="134">
        <f>[1]Планки!I19</f>
        <v>715</v>
      </c>
      <c r="N19" s="134">
        <f>[1]Планки!J19</f>
        <v>120</v>
      </c>
      <c r="O19" s="224">
        <f>[1]Планки!K19</f>
        <v>595</v>
      </c>
      <c r="P19" s="224">
        <f>[1]Планки!L19</f>
        <v>280</v>
      </c>
      <c r="Q19" s="134">
        <f>[1]Планки!M19</f>
        <v>290</v>
      </c>
      <c r="R19" s="134">
        <f>[1]Планки!N19</f>
        <v>325</v>
      </c>
      <c r="S19" s="224">
        <f>[1]Планки!O19</f>
        <v>32</v>
      </c>
      <c r="T19" s="134">
        <f>[1]Планки!P19</f>
        <v>41</v>
      </c>
      <c r="U19" s="134">
        <f>[1]Планки!Q19</f>
        <v>95</v>
      </c>
      <c r="V19" s="134">
        <f>[1]Планки!R19</f>
        <v>0</v>
      </c>
      <c r="AB19" s="215"/>
      <c r="AC19" s="215">
        <f>'[2]Изложницы без бурта'!A19</f>
        <v>0</v>
      </c>
      <c r="AD19" s="215">
        <f>'[2]Изложницы без бурта'!B19</f>
        <v>62.5</v>
      </c>
      <c r="AE19" s="215">
        <f>'[2]Изложницы без бурта'!C19</f>
        <v>245</v>
      </c>
      <c r="AF19" s="56">
        <f>'[2]Изложницы без бурта'!D19</f>
        <v>140</v>
      </c>
      <c r="AG19" s="56">
        <f>'[2]Изложницы без бурта'!E19</f>
        <v>115</v>
      </c>
      <c r="AH19" s="56" t="str">
        <f>'[2]Изложницы без бурта'!F19</f>
        <v>7211867-2</v>
      </c>
      <c r="AI19" s="56">
        <f>'[2]Изложницы без бурта'!G19</f>
        <v>0</v>
      </c>
      <c r="AJ19" s="56">
        <f>'[2]Изложницы без бурта'!H19</f>
        <v>0</v>
      </c>
      <c r="AK19" s="56">
        <f>'[2]Изложницы без бурта'!I19</f>
        <v>0</v>
      </c>
      <c r="AL19" s="56">
        <f>'[2]Изложницы без бурта'!J19</f>
        <v>0</v>
      </c>
      <c r="AM19" s="56">
        <f>'[2]Изложницы без бурта'!K19</f>
        <v>0</v>
      </c>
      <c r="AO19" s="357">
        <v>610</v>
      </c>
      <c r="AP19" s="357" t="s">
        <v>449</v>
      </c>
      <c r="AR19" s="359">
        <v>160</v>
      </c>
      <c r="AS19" s="359">
        <v>145</v>
      </c>
      <c r="AT19" s="359">
        <v>200</v>
      </c>
      <c r="AU19" s="359">
        <v>150</v>
      </c>
      <c r="AV19" s="359">
        <v>285</v>
      </c>
      <c r="AW19" s="358">
        <v>320</v>
      </c>
      <c r="AX19" s="384" t="s">
        <v>482</v>
      </c>
      <c r="AZ19" s="56">
        <f>[3]Изложницы!A17</f>
        <v>220</v>
      </c>
      <c r="BA19" s="56">
        <f>[3]Изложницы!B17</f>
        <v>235</v>
      </c>
      <c r="BB19" s="56">
        <f>[3]Изложницы!C17</f>
        <v>420</v>
      </c>
      <c r="BC19" s="56">
        <f>[3]Изложницы!D17</f>
        <v>305</v>
      </c>
      <c r="BD19" s="56">
        <f>[3]Изложницы!E17</f>
        <v>0</v>
      </c>
      <c r="BE19" s="56">
        <f>[3]Изложницы!F17</f>
        <v>0</v>
      </c>
      <c r="BF19" s="56">
        <f>[3]Изложницы!G17</f>
        <v>0</v>
      </c>
      <c r="BG19" s="56">
        <f>[3]Изложницы!H17</f>
        <v>0</v>
      </c>
      <c r="BH19" s="56">
        <f>[3]Изложницы!I17</f>
        <v>0</v>
      </c>
    </row>
    <row r="20" spans="1:60" ht="15.6" thickBot="1" x14ac:dyDescent="0.3">
      <c r="A20" s="387" t="s">
        <v>1157</v>
      </c>
      <c r="B20" s="221" t="s">
        <v>128</v>
      </c>
      <c r="C20" s="221" t="s">
        <v>129</v>
      </c>
      <c r="D20" s="221" t="s">
        <v>119</v>
      </c>
      <c r="E20" s="221" t="s">
        <v>130</v>
      </c>
      <c r="F20" s="221" t="s">
        <v>131</v>
      </c>
      <c r="G20" s="221"/>
      <c r="H20" s="221" t="s">
        <v>132</v>
      </c>
      <c r="I20" s="222">
        <v>7.5</v>
      </c>
      <c r="L20" s="134">
        <f>[1]Планки!H20</f>
        <v>80</v>
      </c>
      <c r="M20" s="134">
        <f>[1]Планки!I20</f>
        <v>755</v>
      </c>
      <c r="N20" s="134">
        <f>[1]Планки!J20</f>
        <v>150</v>
      </c>
      <c r="O20" s="224">
        <f>[1]Планки!K20</f>
        <v>605</v>
      </c>
      <c r="P20" s="224">
        <f>[1]Планки!L20</f>
        <v>160</v>
      </c>
      <c r="Q20" s="134">
        <f>[1]Планки!M20</f>
        <v>175</v>
      </c>
      <c r="R20" s="134">
        <f>[1]Планки!N20</f>
        <v>210</v>
      </c>
      <c r="S20" s="224">
        <f>[1]Планки!O20</f>
        <v>52</v>
      </c>
      <c r="T20" s="134">
        <f>[1]Планки!P20</f>
        <v>60</v>
      </c>
      <c r="U20" s="134">
        <f>[1]Планки!Q20</f>
        <v>115</v>
      </c>
      <c r="V20" s="134" t="str">
        <f>[1]Планки!R20</f>
        <v>модель нашита  (L4=35 L5=42 L6=100)</v>
      </c>
      <c r="AB20" s="215"/>
      <c r="AC20" s="215">
        <f>'[2]Изложницы без бурта'!A20</f>
        <v>0</v>
      </c>
      <c r="AD20" s="215">
        <f>'[2]Изложницы без бурта'!B20</f>
        <v>62.5</v>
      </c>
      <c r="AE20" s="215">
        <f>'[2]Изложницы без бурта'!C20</f>
        <v>245</v>
      </c>
      <c r="AF20" s="56">
        <f>'[2]Изложницы без бурта'!D20</f>
        <v>140</v>
      </c>
      <c r="AG20" s="56">
        <f>'[2]Изложницы без бурта'!E20</f>
        <v>115</v>
      </c>
      <c r="AH20" s="56" t="str">
        <f>'[2]Изложницы без бурта'!F20</f>
        <v>7211867-2</v>
      </c>
      <c r="AI20" s="56">
        <f>'[2]Изложницы без бурта'!G20</f>
        <v>0</v>
      </c>
      <c r="AJ20" s="56">
        <f>'[2]Изложницы без бурта'!H20</f>
        <v>0</v>
      </c>
      <c r="AK20" s="56">
        <f>'[2]Изложницы без бурта'!I20</f>
        <v>0</v>
      </c>
      <c r="AL20" s="56">
        <f>'[2]Изложницы без бурта'!J20</f>
        <v>0</v>
      </c>
      <c r="AM20" s="56">
        <f>'[2]Изложницы без бурта'!K20</f>
        <v>0</v>
      </c>
      <c r="AO20" s="357">
        <v>640</v>
      </c>
      <c r="AP20" s="357" t="s">
        <v>450</v>
      </c>
      <c r="AR20" s="359">
        <v>181</v>
      </c>
      <c r="AS20" s="359">
        <v>150</v>
      </c>
      <c r="AT20" s="359">
        <v>200</v>
      </c>
      <c r="AU20" s="360">
        <v>147</v>
      </c>
      <c r="AV20" s="359">
        <v>285</v>
      </c>
      <c r="AW20" s="358">
        <v>320</v>
      </c>
      <c r="AX20" s="384" t="s">
        <v>483</v>
      </c>
      <c r="AZ20" s="56">
        <f>[3]Изложницы!A18</f>
        <v>200</v>
      </c>
      <c r="BA20" s="56">
        <f>[3]Изложницы!B18</f>
        <v>213</v>
      </c>
      <c r="BB20" s="56">
        <f>[3]Изложницы!C18</f>
        <v>400</v>
      </c>
      <c r="BC20" s="56">
        <f>[3]Изложницы!D18</f>
        <v>310</v>
      </c>
      <c r="BD20" s="56">
        <f>[3]Изложницы!E18</f>
        <v>0</v>
      </c>
      <c r="BE20" s="56">
        <f>[3]Изложницы!F18</f>
        <v>0</v>
      </c>
      <c r="BF20" s="56">
        <f>[3]Изложницы!G18</f>
        <v>0</v>
      </c>
      <c r="BG20" s="56">
        <f>[3]Изложницы!H18</f>
        <v>0</v>
      </c>
      <c r="BH20" s="56">
        <f>[3]Изложницы!I18</f>
        <v>0</v>
      </c>
    </row>
    <row r="21" spans="1:60" ht="15.6" thickBot="1" x14ac:dyDescent="0.3">
      <c r="A21" s="220" t="s">
        <v>136</v>
      </c>
      <c r="B21" s="221" t="s">
        <v>137</v>
      </c>
      <c r="C21" s="221" t="s">
        <v>138</v>
      </c>
      <c r="D21" s="221" t="s">
        <v>139</v>
      </c>
      <c r="E21" s="221" t="s">
        <v>139</v>
      </c>
      <c r="F21" s="221" t="s">
        <v>140</v>
      </c>
      <c r="G21" s="221"/>
      <c r="H21" s="221" t="s">
        <v>122</v>
      </c>
      <c r="I21" s="222">
        <v>8.5</v>
      </c>
      <c r="L21" s="134">
        <f>[1]Планки!H21</f>
        <v>95</v>
      </c>
      <c r="M21" s="134">
        <f>[1]Планки!I21</f>
        <v>825</v>
      </c>
      <c r="N21" s="134">
        <f>[1]Планки!J21</f>
        <v>220</v>
      </c>
      <c r="O21" s="224">
        <f>[1]Планки!K21</f>
        <v>605</v>
      </c>
      <c r="P21" s="224">
        <f>[1]Планки!L21</f>
        <v>325</v>
      </c>
      <c r="Q21" s="134">
        <f>[1]Планки!M21</f>
        <v>340</v>
      </c>
      <c r="R21" s="134">
        <f>[1]Планки!N21</f>
        <v>385</v>
      </c>
      <c r="S21" s="224">
        <f>[1]Планки!O21</f>
        <v>55</v>
      </c>
      <c r="T21" s="134">
        <f>[1]Планки!P21</f>
        <v>65</v>
      </c>
      <c r="U21" s="134">
        <f>[1]Планки!Q21</f>
        <v>140</v>
      </c>
      <c r="V21" s="134">
        <f>[1]Планки!R21</f>
        <v>0</v>
      </c>
      <c r="AB21" s="215"/>
      <c r="AC21" s="215">
        <f>'[2]Изложницы без бурта'!A21</f>
        <v>0</v>
      </c>
      <c r="AD21" s="215">
        <f>'[2]Изложницы без бурта'!B21</f>
        <v>62.5</v>
      </c>
      <c r="AE21" s="215">
        <f>'[2]Изложницы без бурта'!C21</f>
        <v>240</v>
      </c>
      <c r="AF21" s="56">
        <f>'[2]Изложницы без бурта'!D21</f>
        <v>140</v>
      </c>
      <c r="AG21" s="56">
        <f>'[2]Изложницы без бурта'!E21</f>
        <v>115</v>
      </c>
      <c r="AH21" s="56" t="str">
        <f>'[2]Изложницы без бурта'!F21</f>
        <v>7211867-2</v>
      </c>
      <c r="AI21" s="56">
        <f>'[2]Изложницы без бурта'!G21</f>
        <v>0</v>
      </c>
      <c r="AJ21" s="56">
        <f>'[2]Изложницы без бурта'!H21</f>
        <v>0</v>
      </c>
      <c r="AK21" s="56">
        <f>'[2]Изложницы без бурта'!I21</f>
        <v>0</v>
      </c>
      <c r="AL21" s="56">
        <f>'[2]Изложницы без бурта'!J21</f>
        <v>0</v>
      </c>
      <c r="AM21" s="56">
        <f>'[2]Изложницы без бурта'!K21</f>
        <v>0</v>
      </c>
      <c r="AO21" s="357">
        <v>670</v>
      </c>
      <c r="AP21" s="357" t="s">
        <v>451</v>
      </c>
      <c r="AR21" s="359">
        <v>180</v>
      </c>
      <c r="AS21" s="359">
        <v>157.5</v>
      </c>
      <c r="AT21" s="366">
        <v>200</v>
      </c>
      <c r="AU21" s="367">
        <v>143</v>
      </c>
      <c r="AV21" s="359">
        <v>285</v>
      </c>
      <c r="AW21" s="358">
        <v>320</v>
      </c>
      <c r="AX21" s="384" t="s">
        <v>484</v>
      </c>
      <c r="AZ21" s="56">
        <f>[3]Изложницы!A19</f>
        <v>200</v>
      </c>
      <c r="BA21" s="56">
        <f>[3]Изложницы!B19</f>
        <v>226</v>
      </c>
      <c r="BB21" s="56">
        <f>[3]Изложницы!C19</f>
        <v>780</v>
      </c>
      <c r="BC21" s="56">
        <f>[3]Изложницы!D19</f>
        <v>315</v>
      </c>
      <c r="BD21" s="56" t="str">
        <f>[3]Изложницы!E19</f>
        <v>есть нарощалки Ø260х410, Ø220/230х465 (5694.392.0105)</v>
      </c>
      <c r="BE21" s="56">
        <f>[3]Изложницы!F19</f>
        <v>350</v>
      </c>
      <c r="BF21" s="56">
        <f>[3]Изложницы!G19</f>
        <v>245</v>
      </c>
      <c r="BG21" s="56" t="str">
        <f>[3]Изложницы!H19</f>
        <v>102.46.285-3</v>
      </c>
      <c r="BH21" s="56">
        <f>[3]Изложницы!I19</f>
        <v>0</v>
      </c>
    </row>
    <row r="22" spans="1:60" ht="15" x14ac:dyDescent="0.25">
      <c r="A22" s="220" t="s">
        <v>141</v>
      </c>
      <c r="B22" s="221" t="s">
        <v>137</v>
      </c>
      <c r="C22" s="221" t="s">
        <v>138</v>
      </c>
      <c r="D22" s="221" t="s">
        <v>139</v>
      </c>
      <c r="E22" s="221" t="s">
        <v>139</v>
      </c>
      <c r="F22" s="221" t="s">
        <v>142</v>
      </c>
      <c r="G22" s="221"/>
      <c r="H22" s="221" t="s">
        <v>122</v>
      </c>
      <c r="I22" s="222">
        <v>8.5</v>
      </c>
      <c r="L22" s="134">
        <f>[1]Планки!H22</f>
        <v>30</v>
      </c>
      <c r="M22" s="134">
        <f>[1]Планки!I22</f>
        <v>745</v>
      </c>
      <c r="N22" s="134">
        <f>[1]Планки!J22</f>
        <v>130</v>
      </c>
      <c r="O22" s="224">
        <f>[1]Планки!K22</f>
        <v>615</v>
      </c>
      <c r="P22" s="224">
        <f>[1]Планки!L22</f>
        <v>295</v>
      </c>
      <c r="Q22" s="134">
        <f>[1]Планки!M22</f>
        <v>305</v>
      </c>
      <c r="R22" s="134">
        <f>[1]Планки!N22</f>
        <v>340</v>
      </c>
      <c r="S22" s="224">
        <f>[1]Планки!O22</f>
        <v>30</v>
      </c>
      <c r="T22" s="134">
        <f>[1]Планки!P22</f>
        <v>40</v>
      </c>
      <c r="U22" s="134">
        <f>[1]Планки!Q22</f>
        <v>95</v>
      </c>
      <c r="V22" s="134">
        <f>[1]Планки!R22</f>
        <v>0</v>
      </c>
      <c r="AB22" s="215"/>
      <c r="AC22" s="215">
        <f>'[2]Изложницы без бурта'!A22</f>
        <v>0</v>
      </c>
      <c r="AD22" s="215">
        <f>'[2]Изложницы без бурта'!B22</f>
        <v>65</v>
      </c>
      <c r="AE22" s="215">
        <f>'[2]Изложницы без бурта'!C22</f>
        <v>245</v>
      </c>
      <c r="AF22" s="56">
        <f>'[2]Изложницы без бурта'!D22</f>
        <v>140</v>
      </c>
      <c r="AG22" s="56">
        <f>'[2]Изложницы без бурта'!E22</f>
        <v>115</v>
      </c>
      <c r="AH22" s="56" t="str">
        <f>'[2]Изложницы без бурта'!F22</f>
        <v>7211867-3</v>
      </c>
      <c r="AI22" s="56">
        <f>'[2]Изложницы без бурта'!G22</f>
        <v>0</v>
      </c>
      <c r="AJ22" s="56">
        <f>'[2]Изложницы без бурта'!H22</f>
        <v>0</v>
      </c>
      <c r="AK22" s="56">
        <f>'[2]Изложницы без бурта'!I22</f>
        <v>0</v>
      </c>
      <c r="AL22" s="56">
        <f>'[2]Изложницы без бурта'!J22</f>
        <v>0</v>
      </c>
      <c r="AM22" s="56">
        <f>'[2]Изложницы без бурта'!K22</f>
        <v>0</v>
      </c>
      <c r="AO22" s="357">
        <v>700</v>
      </c>
      <c r="AP22" s="357" t="s">
        <v>452</v>
      </c>
      <c r="AR22" s="359">
        <v>182</v>
      </c>
      <c r="AS22" s="359">
        <v>160</v>
      </c>
      <c r="AT22" s="359">
        <v>200</v>
      </c>
      <c r="AU22" s="358">
        <v>145</v>
      </c>
      <c r="AV22" s="359">
        <v>285</v>
      </c>
      <c r="AW22" s="358">
        <v>320</v>
      </c>
      <c r="AX22" s="384" t="s">
        <v>484</v>
      </c>
      <c r="AZ22" s="56">
        <f>[3]Изложницы!A20</f>
        <v>195</v>
      </c>
      <c r="BA22" s="56">
        <f>[3]Изложницы!B20</f>
        <v>213</v>
      </c>
      <c r="BB22" s="56">
        <f>[3]Изложницы!C20</f>
        <v>785</v>
      </c>
      <c r="BC22" s="56">
        <f>[3]Изложницы!D20</f>
        <v>310</v>
      </c>
      <c r="BD22" s="56">
        <f>[3]Изложницы!E20</f>
        <v>0</v>
      </c>
      <c r="BE22" s="56">
        <f>[3]Изложницы!F20</f>
        <v>450</v>
      </c>
      <c r="BF22" s="56">
        <f>[3]Изложницы!G20</f>
        <v>680</v>
      </c>
      <c r="BG22" s="56" t="str">
        <f>[3]Изложницы!H20</f>
        <v>242.71.012</v>
      </c>
      <c r="BH22" s="56" t="str">
        <f>[3]Изложницы!I20</f>
        <v>Ковалев</v>
      </c>
    </row>
    <row r="23" spans="1:60" ht="15.6" thickBot="1" x14ac:dyDescent="0.3">
      <c r="A23" s="226" t="s">
        <v>41</v>
      </c>
      <c r="B23" s="227" t="s">
        <v>143</v>
      </c>
      <c r="C23" s="227" t="s">
        <v>143</v>
      </c>
      <c r="D23" s="227" t="s">
        <v>143</v>
      </c>
      <c r="E23" s="227" t="s">
        <v>143</v>
      </c>
      <c r="F23" s="221" t="s">
        <v>144</v>
      </c>
      <c r="G23" s="228"/>
      <c r="H23" s="221" t="s">
        <v>145</v>
      </c>
      <c r="I23" s="222">
        <v>7</v>
      </c>
      <c r="L23" s="134" t="str">
        <f>[1]Планки!H23</f>
        <v>б/н (АГВЕРС)</v>
      </c>
      <c r="M23" s="134">
        <f>[1]Планки!I23</f>
        <v>825</v>
      </c>
      <c r="N23" s="134">
        <f>[1]Планки!J23</f>
        <v>205</v>
      </c>
      <c r="O23" s="224">
        <f>[1]Планки!K23</f>
        <v>620</v>
      </c>
      <c r="P23" s="224">
        <f>[1]Планки!L23</f>
        <v>1300</v>
      </c>
      <c r="Q23" s="134">
        <f>[1]Планки!M23</f>
        <v>1325</v>
      </c>
      <c r="R23" s="134">
        <f>[1]Планки!N23</f>
        <v>1335</v>
      </c>
      <c r="S23" s="224">
        <f>[1]Планки!O23</f>
        <v>65</v>
      </c>
      <c r="T23" s="134">
        <f>[1]Планки!P23</f>
        <v>75</v>
      </c>
      <c r="U23" s="134">
        <f>[1]Планки!Q23</f>
        <v>130</v>
      </c>
      <c r="V23" s="134" t="str">
        <f>[1]Планки!R23</f>
        <v>новая модель для заказа 341684-004</v>
      </c>
      <c r="AB23" s="215"/>
      <c r="AC23" s="215">
        <f>'[2]Изложницы без бурта'!A23</f>
        <v>0</v>
      </c>
      <c r="AD23" s="215">
        <f>'[2]Изложницы без бурта'!B23</f>
        <v>65</v>
      </c>
      <c r="AE23" s="215">
        <f>'[2]Изложницы без бурта'!C23</f>
        <v>245</v>
      </c>
      <c r="AF23" s="56">
        <f>'[2]Изложницы без бурта'!D23</f>
        <v>140</v>
      </c>
      <c r="AG23" s="56">
        <f>'[2]Изложницы без бурта'!E23</f>
        <v>115</v>
      </c>
      <c r="AH23" s="56" t="str">
        <f>'[2]Изложницы без бурта'!F23</f>
        <v>7211867-3</v>
      </c>
      <c r="AI23" s="56">
        <f>'[2]Изложницы без бурта'!G23</f>
        <v>0</v>
      </c>
      <c r="AJ23" s="56">
        <f>'[2]Изложницы без бурта'!H23</f>
        <v>0</v>
      </c>
      <c r="AK23" s="56">
        <f>'[2]Изложницы без бурта'!I23</f>
        <v>0</v>
      </c>
      <c r="AL23" s="56">
        <f>'[2]Изложницы без бурта'!J23</f>
        <v>0</v>
      </c>
      <c r="AM23" s="56">
        <f>'[2]Изложницы без бурта'!K23</f>
        <v>0</v>
      </c>
      <c r="AO23" s="357">
        <v>743</v>
      </c>
      <c r="AP23" s="357"/>
      <c r="AR23" s="373">
        <v>250</v>
      </c>
      <c r="AS23" s="373">
        <v>160</v>
      </c>
      <c r="AT23" s="373">
        <v>380</v>
      </c>
      <c r="AU23" s="374">
        <v>295</v>
      </c>
      <c r="AV23" s="373">
        <v>285</v>
      </c>
      <c r="AW23" s="375">
        <v>320</v>
      </c>
      <c r="AX23" s="384" t="s">
        <v>485</v>
      </c>
      <c r="AZ23" s="56">
        <f>[3]Изложницы!A21</f>
        <v>170</v>
      </c>
      <c r="BA23" s="56">
        <f>[3]Изложницы!B21</f>
        <v>177</v>
      </c>
      <c r="BB23" s="56">
        <f>[3]Изложницы!C21</f>
        <v>400</v>
      </c>
      <c r="BC23" s="56">
        <f>[3]Изложницы!D21</f>
        <v>0</v>
      </c>
      <c r="BD23" s="56">
        <f>[3]Изложницы!E21</f>
        <v>0</v>
      </c>
      <c r="BE23" s="56">
        <f>[3]Изложницы!F21</f>
        <v>0</v>
      </c>
      <c r="BF23" s="56">
        <f>[3]Изложницы!G21</f>
        <v>0</v>
      </c>
      <c r="BG23" s="56" t="str">
        <f>[3]Изложницы!H21</f>
        <v>102.46.285-1</v>
      </c>
      <c r="BH23" s="56">
        <f>[3]Изложницы!I21</f>
        <v>0</v>
      </c>
    </row>
    <row r="24" spans="1:60" ht="15.6" thickBot="1" x14ac:dyDescent="0.3">
      <c r="A24" s="220" t="s">
        <v>42</v>
      </c>
      <c r="B24" s="227" t="s">
        <v>143</v>
      </c>
      <c r="C24" s="227" t="s">
        <v>143</v>
      </c>
      <c r="D24" s="227" t="s">
        <v>143</v>
      </c>
      <c r="E24" s="227" t="s">
        <v>143</v>
      </c>
      <c r="F24" s="221" t="s">
        <v>144</v>
      </c>
      <c r="G24" s="221"/>
      <c r="H24" s="221" t="s">
        <v>145</v>
      </c>
      <c r="I24" s="222">
        <v>7.1</v>
      </c>
      <c r="L24" s="134">
        <f>[1]Планки!H24</f>
        <v>98</v>
      </c>
      <c r="M24" s="134">
        <f>[1]Планки!I24</f>
        <v>730</v>
      </c>
      <c r="N24" s="134">
        <f>[1]Планки!J24</f>
        <v>105</v>
      </c>
      <c r="O24" s="224">
        <f>[1]Планки!K24</f>
        <v>625</v>
      </c>
      <c r="P24" s="224">
        <f>[1]Планки!L24</f>
        <v>280</v>
      </c>
      <c r="Q24" s="134">
        <f>[1]Планки!M24</f>
        <v>287</v>
      </c>
      <c r="R24" s="134">
        <f>[1]Планки!N24</f>
        <v>315</v>
      </c>
      <c r="S24" s="224">
        <f>[1]Планки!O24</f>
        <v>40</v>
      </c>
      <c r="T24" s="134">
        <f>[1]Планки!P24</f>
        <v>50</v>
      </c>
      <c r="U24" s="134">
        <f>[1]Планки!Q24</f>
        <v>100</v>
      </c>
      <c r="V24" s="134" t="str">
        <f>[1]Планки!R24</f>
        <v>модель нашита  (L4=27 L5=37 L6=85)</v>
      </c>
      <c r="AB24" s="215"/>
      <c r="AC24" s="215">
        <f>'[2]Изложницы без бурта'!A24</f>
        <v>0</v>
      </c>
      <c r="AD24" s="215">
        <f>'[2]Изложницы без бурта'!B24</f>
        <v>65</v>
      </c>
      <c r="AE24" s="215">
        <f>'[2]Изложницы без бурта'!C24</f>
        <v>240</v>
      </c>
      <c r="AF24" s="56">
        <f>'[2]Изложницы без бурта'!D24</f>
        <v>140</v>
      </c>
      <c r="AG24" s="56">
        <f>'[2]Изложницы без бурта'!E24</f>
        <v>115</v>
      </c>
      <c r="AH24" s="56" t="str">
        <f>'[2]Изложницы без бурта'!F24</f>
        <v>7211867-3</v>
      </c>
      <c r="AI24" s="56">
        <f>'[2]Изложницы без бурта'!G24</f>
        <v>0</v>
      </c>
      <c r="AJ24" s="56">
        <f>'[2]Изложницы без бурта'!H24</f>
        <v>0</v>
      </c>
      <c r="AK24" s="56">
        <f>'[2]Изложницы без бурта'!I24</f>
        <v>0</v>
      </c>
      <c r="AL24" s="56">
        <f>'[2]Изложницы без бурта'!J24</f>
        <v>0</v>
      </c>
      <c r="AM24" s="56">
        <f>'[2]Изложницы без бурта'!K24</f>
        <v>0</v>
      </c>
      <c r="AR24" s="376">
        <v>242</v>
      </c>
      <c r="AS24" s="376">
        <v>162.5</v>
      </c>
      <c r="AT24" s="366">
        <v>265</v>
      </c>
      <c r="AU24" s="367">
        <v>215</v>
      </c>
      <c r="AV24" s="359">
        <v>285</v>
      </c>
      <c r="AW24" s="358">
        <v>320</v>
      </c>
      <c r="AX24" s="384" t="s">
        <v>486</v>
      </c>
      <c r="AZ24" s="56">
        <f>[3]Изложницы!A22</f>
        <v>160</v>
      </c>
      <c r="BA24" s="56">
        <f>[3]Изложницы!B22</f>
        <v>167</v>
      </c>
      <c r="BB24" s="56">
        <f>[3]Изложницы!C22</f>
        <v>400</v>
      </c>
      <c r="BC24" s="56">
        <f>[3]Изложницы!D22</f>
        <v>315</v>
      </c>
      <c r="BD24" s="56">
        <f>[3]Изложницы!E22</f>
        <v>0</v>
      </c>
      <c r="BE24" s="56">
        <f>[3]Изложницы!F22</f>
        <v>300</v>
      </c>
      <c r="BF24" s="56">
        <f>[3]Изложницы!G22</f>
        <v>196</v>
      </c>
      <c r="BG24" s="56" t="str">
        <f>[3]Изложницы!H22</f>
        <v>102.46.286-3</v>
      </c>
      <c r="BH24" s="56">
        <f>[3]Изложницы!I22</f>
        <v>0</v>
      </c>
    </row>
    <row r="25" spans="1:60" ht="15" x14ac:dyDescent="0.25">
      <c r="A25" s="220" t="s">
        <v>43</v>
      </c>
      <c r="B25" s="227" t="s">
        <v>143</v>
      </c>
      <c r="C25" s="227" t="s">
        <v>143</v>
      </c>
      <c r="D25" s="227" t="s">
        <v>143</v>
      </c>
      <c r="E25" s="227" t="s">
        <v>143</v>
      </c>
      <c r="F25" s="221" t="s">
        <v>144</v>
      </c>
      <c r="G25" s="221"/>
      <c r="H25" s="221" t="s">
        <v>145</v>
      </c>
      <c r="I25" s="222">
        <v>7.2</v>
      </c>
      <c r="L25" s="134">
        <f>[1]Планки!H25</f>
        <v>63</v>
      </c>
      <c r="M25" s="134">
        <f>[1]Планки!I25</f>
        <v>790</v>
      </c>
      <c r="N25" s="134">
        <f>[1]Планки!J25</f>
        <v>160</v>
      </c>
      <c r="O25" s="224">
        <f>[1]Планки!K25</f>
        <v>630</v>
      </c>
      <c r="P25" s="224">
        <f>[1]Планки!L25</f>
        <v>360</v>
      </c>
      <c r="Q25" s="134">
        <f>[1]Планки!M25</f>
        <v>373</v>
      </c>
      <c r="R25" s="134">
        <f>[1]Планки!N25</f>
        <v>410</v>
      </c>
      <c r="S25" s="224">
        <f>[1]Планки!O25</f>
        <v>34</v>
      </c>
      <c r="T25" s="134">
        <f>[1]Планки!P25</f>
        <v>45</v>
      </c>
      <c r="U25" s="134">
        <f>[1]Планки!Q25</f>
        <v>110</v>
      </c>
      <c r="V25" s="134">
        <f>[1]Планки!R25</f>
        <v>0</v>
      </c>
      <c r="AB25" s="215"/>
      <c r="AC25" s="215">
        <f>'[2]Изложницы без бурта'!A25</f>
        <v>0</v>
      </c>
      <c r="AD25" s="215">
        <f>'[2]Изложницы без бурта'!B25</f>
        <v>65</v>
      </c>
      <c r="AE25" s="215">
        <f>'[2]Изложницы без бурта'!C25</f>
        <v>245</v>
      </c>
      <c r="AF25" s="56">
        <f>'[2]Изложницы без бурта'!D25</f>
        <v>140</v>
      </c>
      <c r="AG25" s="56">
        <f>'[2]Изложницы без бурта'!E25</f>
        <v>115</v>
      </c>
      <c r="AH25" s="56" t="str">
        <f>'[2]Изложницы без бурта'!F25</f>
        <v>7211867-3</v>
      </c>
      <c r="AI25" s="56">
        <f>'[2]Изложницы без бурта'!G25</f>
        <v>0</v>
      </c>
      <c r="AJ25" s="56">
        <f>'[2]Изложницы без бурта'!H25</f>
        <v>0</v>
      </c>
      <c r="AK25" s="56">
        <f>'[2]Изложницы без бурта'!I25</f>
        <v>0</v>
      </c>
      <c r="AL25" s="56">
        <f>'[2]Изложницы без бурта'!J25</f>
        <v>0</v>
      </c>
      <c r="AM25" s="56">
        <f>'[2]Изложницы без бурта'!K25</f>
        <v>0</v>
      </c>
      <c r="AO25" s="1802" t="s">
        <v>1026</v>
      </c>
      <c r="AP25" s="1802"/>
      <c r="AR25" s="359">
        <v>250</v>
      </c>
      <c r="AS25" s="359">
        <v>167.5</v>
      </c>
      <c r="AT25" s="359">
        <v>265</v>
      </c>
      <c r="AU25" s="358">
        <v>230</v>
      </c>
      <c r="AV25" s="359">
        <v>285</v>
      </c>
      <c r="AW25" s="358">
        <v>320</v>
      </c>
      <c r="AX25" s="384" t="s">
        <v>487</v>
      </c>
      <c r="AZ25" s="56">
        <f>[3]Изложницы!A23</f>
        <v>140</v>
      </c>
      <c r="BA25" s="56">
        <f>[3]Изложницы!B23</f>
        <v>170</v>
      </c>
      <c r="BB25" s="56">
        <f>[3]Изложницы!C23</f>
        <v>380</v>
      </c>
      <c r="BC25" s="56">
        <f>[3]Изложницы!D23</f>
        <v>310</v>
      </c>
      <c r="BD25" s="56">
        <f>[3]Изложницы!E23</f>
        <v>0</v>
      </c>
      <c r="BE25" s="56">
        <f>[3]Изложницы!F23</f>
        <v>0</v>
      </c>
      <c r="BF25" s="56">
        <f>[3]Изложницы!G23</f>
        <v>0</v>
      </c>
      <c r="BG25" s="56">
        <f>[3]Изложницы!H23</f>
        <v>0</v>
      </c>
      <c r="BH25" s="56">
        <f>[3]Изложницы!I23</f>
        <v>0</v>
      </c>
    </row>
    <row r="26" spans="1:60" ht="15" x14ac:dyDescent="0.25">
      <c r="A26" s="226" t="s">
        <v>44</v>
      </c>
      <c r="B26" s="227" t="s">
        <v>143</v>
      </c>
      <c r="C26" s="227" t="s">
        <v>143</v>
      </c>
      <c r="D26" s="227" t="s">
        <v>143</v>
      </c>
      <c r="E26" s="227" t="s">
        <v>143</v>
      </c>
      <c r="F26" s="221" t="s">
        <v>144</v>
      </c>
      <c r="G26" s="228"/>
      <c r="H26" s="221" t="s">
        <v>145</v>
      </c>
      <c r="I26" s="222">
        <v>7.3</v>
      </c>
      <c r="L26" s="134">
        <f>[1]Планки!H26</f>
        <v>59</v>
      </c>
      <c r="M26" s="134">
        <f>[1]Планки!I26</f>
        <v>775</v>
      </c>
      <c r="N26" s="134">
        <f>[1]Планки!J26</f>
        <v>140</v>
      </c>
      <c r="O26" s="224">
        <f>[1]Планки!K26</f>
        <v>635</v>
      </c>
      <c r="P26" s="224">
        <f>[1]Планки!L26</f>
        <v>340</v>
      </c>
      <c r="Q26" s="134">
        <f>[1]Планки!M26</f>
        <v>357</v>
      </c>
      <c r="R26" s="134">
        <f>[1]Планки!N26</f>
        <v>372</v>
      </c>
      <c r="S26" s="224">
        <f>[1]Планки!O26</f>
        <v>28</v>
      </c>
      <c r="T26" s="134">
        <f>[1]Планки!P26</f>
        <v>35</v>
      </c>
      <c r="U26" s="134">
        <f>[1]Планки!Q26</f>
        <v>75</v>
      </c>
      <c r="V26" s="134">
        <f>[1]Планки!R26</f>
        <v>0</v>
      </c>
      <c r="AB26" s="215"/>
      <c r="AC26" s="215">
        <f>'[2]Изложницы без бурта'!A26</f>
        <v>0</v>
      </c>
      <c r="AD26" s="215">
        <f>'[2]Изложницы без бурта'!B26</f>
        <v>65</v>
      </c>
      <c r="AE26" s="215">
        <f>'[2]Изложницы без бурта'!C26</f>
        <v>245</v>
      </c>
      <c r="AF26" s="56">
        <f>'[2]Изложницы без бурта'!D26</f>
        <v>140</v>
      </c>
      <c r="AG26" s="56">
        <f>'[2]Изложницы без бурта'!E26</f>
        <v>115</v>
      </c>
      <c r="AH26" s="56" t="str">
        <f>'[2]Изложницы без бурта'!F26</f>
        <v>7211867-3</v>
      </c>
      <c r="AI26" s="56">
        <f>'[2]Изложницы без бурта'!G26</f>
        <v>0</v>
      </c>
      <c r="AJ26" s="56">
        <f>'[2]Изложницы без бурта'!H26</f>
        <v>0</v>
      </c>
      <c r="AK26" s="56">
        <f>'[2]Изложницы без бурта'!I26</f>
        <v>0</v>
      </c>
      <c r="AL26" s="56">
        <f>'[2]Изложницы без бурта'!J26</f>
        <v>0</v>
      </c>
      <c r="AM26" s="56">
        <f>'[2]Изложницы без бурта'!K26</f>
        <v>0</v>
      </c>
      <c r="AO26" s="386" t="s">
        <v>456</v>
      </c>
      <c r="AP26" s="386" t="s">
        <v>457</v>
      </c>
      <c r="AR26" s="359">
        <v>248</v>
      </c>
      <c r="AS26" s="359">
        <v>167.5</v>
      </c>
      <c r="AT26" s="359">
        <v>265</v>
      </c>
      <c r="AU26" s="359">
        <v>230</v>
      </c>
      <c r="AV26" s="359">
        <v>285</v>
      </c>
      <c r="AW26" s="358">
        <v>320</v>
      </c>
      <c r="AX26" s="384" t="s">
        <v>487</v>
      </c>
      <c r="AZ26" s="56">
        <f>[3]Изложницы!A24</f>
        <v>140</v>
      </c>
      <c r="BA26" s="56">
        <f>[3]Изложницы!B24</f>
        <v>170</v>
      </c>
      <c r="BB26" s="56">
        <f>[3]Изложницы!C24</f>
        <v>675</v>
      </c>
      <c r="BC26" s="56">
        <f>[3]Изложницы!D24</f>
        <v>310</v>
      </c>
      <c r="BD26" s="56">
        <f>[3]Изложницы!E24</f>
        <v>0</v>
      </c>
      <c r="BE26" s="56">
        <f>[3]Изложницы!F24</f>
        <v>320</v>
      </c>
      <c r="BF26" s="56">
        <f>[3]Изложницы!G24</f>
        <v>360</v>
      </c>
      <c r="BG26" s="56" t="str">
        <f>[3]Изложницы!H24</f>
        <v>34.01.2018.140.700</v>
      </c>
      <c r="BH26" s="56">
        <f>[3]Изложницы!I24</f>
        <v>0</v>
      </c>
    </row>
    <row r="27" spans="1:60" ht="15.6" thickBot="1" x14ac:dyDescent="0.3">
      <c r="A27" s="229" t="s">
        <v>45</v>
      </c>
      <c r="B27" s="230" t="s">
        <v>143</v>
      </c>
      <c r="C27" s="230" t="s">
        <v>143</v>
      </c>
      <c r="D27" s="230" t="s">
        <v>143</v>
      </c>
      <c r="E27" s="230" t="s">
        <v>143</v>
      </c>
      <c r="F27" s="231" t="s">
        <v>144</v>
      </c>
      <c r="G27" s="232"/>
      <c r="H27" s="231" t="s">
        <v>145</v>
      </c>
      <c r="I27" s="233">
        <v>7.4</v>
      </c>
      <c r="L27" s="134">
        <f>[1]Планки!H27</f>
        <v>4</v>
      </c>
      <c r="M27" s="134">
        <f>[1]Планки!I27</f>
        <v>1185</v>
      </c>
      <c r="N27" s="134">
        <f>[1]Планки!J27</f>
        <v>545</v>
      </c>
      <c r="O27" s="224">
        <f>[1]Планки!K27</f>
        <v>640</v>
      </c>
      <c r="P27" s="224">
        <f>[1]Планки!L27</f>
        <v>223</v>
      </c>
      <c r="Q27" s="134">
        <f>[1]Планки!M27</f>
        <v>230</v>
      </c>
      <c r="R27" s="134">
        <f>[1]Планки!N27</f>
        <v>345</v>
      </c>
      <c r="S27" s="224">
        <f>[1]Планки!O27</f>
        <v>173</v>
      </c>
      <c r="T27" s="134">
        <f>[1]Планки!P27</f>
        <v>185</v>
      </c>
      <c r="U27" s="134">
        <f>[1]Планки!Q27</f>
        <v>305</v>
      </c>
      <c r="V27" s="134">
        <f>[1]Планки!R27</f>
        <v>0</v>
      </c>
      <c r="AB27" s="215"/>
      <c r="AC27" s="215">
        <f>'[2]Изложницы без бурта'!A27</f>
        <v>0</v>
      </c>
      <c r="AD27" s="215">
        <f>'[2]Изложницы без бурта'!B27</f>
        <v>67.5</v>
      </c>
      <c r="AE27" s="215">
        <f>'[2]Изложницы без бурта'!C27</f>
        <v>243</v>
      </c>
      <c r="AF27" s="56">
        <f>'[2]Изложницы без бурта'!D27</f>
        <v>140</v>
      </c>
      <c r="AG27" s="56">
        <f>'[2]Изложницы без бурта'!E27</f>
        <v>115</v>
      </c>
      <c r="AH27" s="56" t="str">
        <f>'[2]Изложницы без бурта'!F27</f>
        <v>7211867-4</v>
      </c>
      <c r="AI27" s="56">
        <f>'[2]Изложницы без бурта'!G27</f>
        <v>0</v>
      </c>
      <c r="AJ27" s="56">
        <f>'[2]Изложницы без бурта'!H27</f>
        <v>0</v>
      </c>
      <c r="AK27" s="56">
        <f>'[2]Изложницы без бурта'!I27</f>
        <v>0</v>
      </c>
      <c r="AL27" s="56">
        <f>'[2]Изложницы без бурта'!J27</f>
        <v>0</v>
      </c>
      <c r="AM27" s="56">
        <f>'[2]Изложницы без бурта'!K27</f>
        <v>0</v>
      </c>
      <c r="AO27" s="384">
        <f>VLOOKUP(цб!E29,Данные!AD79:AF1156,3)</f>
        <v>185</v>
      </c>
      <c r="AP27" s="384">
        <f>VLOOKUP('цб с буртом'!E31,кок_с_буртом,5)</f>
        <v>375</v>
      </c>
      <c r="AR27" s="359">
        <v>250</v>
      </c>
      <c r="AS27" s="359">
        <v>170</v>
      </c>
      <c r="AT27" s="359">
        <v>265</v>
      </c>
      <c r="AU27" s="359">
        <v>230</v>
      </c>
      <c r="AV27" s="359">
        <v>285</v>
      </c>
      <c r="AW27" s="358">
        <v>320</v>
      </c>
      <c r="AX27" s="384" t="s">
        <v>487</v>
      </c>
      <c r="AZ27" s="56">
        <f>[3]Изложницы!A25</f>
        <v>140</v>
      </c>
      <c r="BA27" s="56">
        <f>[3]Изложницы!B25</f>
        <v>150</v>
      </c>
      <c r="BB27" s="56">
        <f>[3]Изложницы!C25</f>
        <v>380</v>
      </c>
      <c r="BC27" s="56">
        <f>[3]Изложницы!D25</f>
        <v>315</v>
      </c>
      <c r="BD27" s="56">
        <f>[3]Изложницы!E25</f>
        <v>0</v>
      </c>
      <c r="BE27" s="56">
        <f>[3]Изложницы!F25</f>
        <v>300</v>
      </c>
      <c r="BF27" s="56">
        <f>[3]Изложницы!G25</f>
        <v>230</v>
      </c>
      <c r="BG27" s="56" t="str">
        <f>[3]Изложницы!H25</f>
        <v>102.46.286-1</v>
      </c>
      <c r="BH27" s="56">
        <f>[3]Изложницы!I25</f>
        <v>0</v>
      </c>
    </row>
    <row r="28" spans="1:60" ht="15" thickBot="1" x14ac:dyDescent="0.3">
      <c r="A28" s="234"/>
      <c r="B28" s="134"/>
      <c r="C28" s="134"/>
      <c r="D28" s="134"/>
      <c r="E28" s="134"/>
      <c r="F28" s="134"/>
      <c r="G28" s="235"/>
      <c r="H28" s="235"/>
      <c r="L28" s="134">
        <f>[1]Планки!H28</f>
        <v>76</v>
      </c>
      <c r="M28" s="134">
        <f>[1]Планки!I28</f>
        <v>765</v>
      </c>
      <c r="N28" s="134">
        <f>[1]Планки!J28</f>
        <v>125</v>
      </c>
      <c r="O28" s="224">
        <f>[1]Планки!K28</f>
        <v>640</v>
      </c>
      <c r="P28" s="224">
        <f>[1]Планки!L28</f>
        <v>235</v>
      </c>
      <c r="Q28" s="134">
        <f>[1]Планки!M28</f>
        <v>252</v>
      </c>
      <c r="R28" s="134">
        <f>[1]Планки!N28</f>
        <v>290</v>
      </c>
      <c r="S28" s="224">
        <f>[1]Планки!O28</f>
        <v>27</v>
      </c>
      <c r="T28" s="134">
        <f>[1]Планки!P28</f>
        <v>37</v>
      </c>
      <c r="U28" s="134">
        <f>[1]Планки!Q28</f>
        <v>90</v>
      </c>
      <c r="V28" s="134">
        <f>[1]Планки!R28</f>
        <v>0</v>
      </c>
      <c r="AB28" s="215"/>
      <c r="AC28" s="215">
        <f>'[2]Изложницы без бурта'!A28</f>
        <v>0</v>
      </c>
      <c r="AD28" s="215">
        <f>'[2]Изложницы без бурта'!B28</f>
        <v>67.5</v>
      </c>
      <c r="AE28" s="215">
        <f>'[2]Изложницы без бурта'!C28</f>
        <v>245</v>
      </c>
      <c r="AF28" s="56">
        <f>'[2]Изложницы без бурта'!D28</f>
        <v>140</v>
      </c>
      <c r="AG28" s="56">
        <f>'[2]Изложницы без бурта'!E28</f>
        <v>115</v>
      </c>
      <c r="AH28" s="56" t="str">
        <f>'[2]Изложницы без бурта'!F28</f>
        <v>7211867-4</v>
      </c>
      <c r="AI28" s="56">
        <f>'[2]Изложницы без бурта'!G28</f>
        <v>0</v>
      </c>
      <c r="AJ28" s="56">
        <f>'[2]Изложницы без бурта'!H28</f>
        <v>0</v>
      </c>
      <c r="AK28" s="56">
        <f>'[2]Изложницы без бурта'!I28</f>
        <v>0</v>
      </c>
      <c r="AL28" s="56">
        <f>'[2]Изложницы без бурта'!J28</f>
        <v>0</v>
      </c>
      <c r="AM28" s="56">
        <f>'[2]Изложницы без бурта'!K28</f>
        <v>0</v>
      </c>
      <c r="AR28" s="359">
        <v>250</v>
      </c>
      <c r="AS28" s="359">
        <v>170</v>
      </c>
      <c r="AT28" s="359">
        <v>265</v>
      </c>
      <c r="AU28" s="359">
        <v>235</v>
      </c>
      <c r="AV28" s="359">
        <v>285</v>
      </c>
      <c r="AW28" s="358">
        <v>320</v>
      </c>
      <c r="AX28" s="384" t="s">
        <v>487</v>
      </c>
      <c r="AZ28" s="56">
        <f>[3]Изложницы!A26</f>
        <v>135</v>
      </c>
      <c r="BA28" s="56">
        <f>[3]Изложницы!B26</f>
        <v>145</v>
      </c>
      <c r="BB28" s="56">
        <f>[3]Изложницы!C26</f>
        <v>330</v>
      </c>
      <c r="BC28" s="56">
        <f>[3]Изложницы!D26</f>
        <v>295</v>
      </c>
      <c r="BD28" s="56">
        <f>[3]Изложницы!E26</f>
        <v>0</v>
      </c>
      <c r="BE28" s="56">
        <f>[3]Изложницы!F26</f>
        <v>295</v>
      </c>
      <c r="BF28" s="56">
        <f>[3]Изложницы!G26</f>
        <v>0</v>
      </c>
      <c r="BG28" s="56">
        <f>[3]Изложницы!H26</f>
        <v>0</v>
      </c>
      <c r="BH28" s="56">
        <f>[3]Изложницы!I26</f>
        <v>0</v>
      </c>
    </row>
    <row r="29" spans="1:60" ht="14.4" x14ac:dyDescent="0.25">
      <c r="A29" s="236"/>
      <c r="B29" s="64" t="s">
        <v>1152</v>
      </c>
      <c r="C29" s="67"/>
      <c r="D29" s="67"/>
      <c r="E29" s="64" t="s">
        <v>146</v>
      </c>
      <c r="F29" s="64" t="s">
        <v>118</v>
      </c>
      <c r="G29" s="64" t="s">
        <v>122</v>
      </c>
      <c r="H29" s="64" t="s">
        <v>132</v>
      </c>
      <c r="I29" s="208" t="s">
        <v>145</v>
      </c>
      <c r="L29" s="134">
        <f>[1]Планки!H29</f>
        <v>78</v>
      </c>
      <c r="M29" s="134">
        <f>[1]Планки!I29</f>
        <v>745</v>
      </c>
      <c r="N29" s="134">
        <f>[1]Планки!J29</f>
        <v>105</v>
      </c>
      <c r="O29" s="224">
        <f>[1]Планки!K29</f>
        <v>640</v>
      </c>
      <c r="P29" s="224">
        <f>[1]Планки!L29</f>
        <v>240</v>
      </c>
      <c r="Q29" s="134">
        <f>[1]Планки!M29</f>
        <v>247</v>
      </c>
      <c r="R29" s="134">
        <f>[1]Планки!N29</f>
        <v>280</v>
      </c>
      <c r="S29" s="224">
        <f>[1]Планки!O29</f>
        <v>27</v>
      </c>
      <c r="T29" s="134">
        <f>[1]Планки!P29</f>
        <v>35</v>
      </c>
      <c r="U29" s="134">
        <f>[1]Планки!Q29</f>
        <v>80</v>
      </c>
      <c r="V29" s="134">
        <f>[1]Планки!R29</f>
        <v>0</v>
      </c>
      <c r="AB29" s="215"/>
      <c r="AC29" s="215">
        <f>'[2]Изложницы без бурта'!A29</f>
        <v>0</v>
      </c>
      <c r="AD29" s="215">
        <f>'[2]Изложницы без бурта'!B29</f>
        <v>67.5</v>
      </c>
      <c r="AE29" s="215">
        <f>'[2]Изложницы без бурта'!C29</f>
        <v>245</v>
      </c>
      <c r="AF29" s="56">
        <f>'[2]Изложницы без бурта'!D29</f>
        <v>140</v>
      </c>
      <c r="AG29" s="56">
        <f>'[2]Изложницы без бурта'!E29</f>
        <v>115</v>
      </c>
      <c r="AH29" s="56" t="str">
        <f>'[2]Изложницы без бурта'!F29</f>
        <v>7211867-4</v>
      </c>
      <c r="AI29" s="56">
        <f>'[2]Изложницы без бурта'!G29</f>
        <v>0</v>
      </c>
      <c r="AJ29" s="56">
        <f>'[2]Изложницы без бурта'!H29</f>
        <v>0</v>
      </c>
      <c r="AK29" s="56">
        <f>'[2]Изложницы без бурта'!I29</f>
        <v>0</v>
      </c>
      <c r="AL29" s="56">
        <f>'[2]Изложницы без бурта'!J29</f>
        <v>0</v>
      </c>
      <c r="AM29" s="56">
        <f>'[2]Изложницы без бурта'!K29</f>
        <v>0</v>
      </c>
      <c r="AR29" s="359">
        <v>251</v>
      </c>
      <c r="AS29" s="359">
        <v>170</v>
      </c>
      <c r="AT29" s="359">
        <v>265</v>
      </c>
      <c r="AU29" s="359">
        <v>230</v>
      </c>
      <c r="AV29" s="359">
        <v>285</v>
      </c>
      <c r="AW29" s="358">
        <v>320</v>
      </c>
      <c r="AX29" s="384" t="s">
        <v>487</v>
      </c>
      <c r="AZ29" s="56">
        <f>[3]Изложницы!A27</f>
        <v>130</v>
      </c>
      <c r="BA29" s="56">
        <f>[3]Изложницы!B27</f>
        <v>160</v>
      </c>
      <c r="BB29" s="56">
        <f>[3]Изложницы!C27</f>
        <v>400</v>
      </c>
      <c r="BC29" s="56">
        <f>[3]Изложницы!D27</f>
        <v>0</v>
      </c>
      <c r="BD29" s="56">
        <f>[3]Изложницы!E27</f>
        <v>0</v>
      </c>
      <c r="BE29" s="56">
        <f>[3]Изложницы!F27</f>
        <v>0</v>
      </c>
      <c r="BF29" s="56">
        <f>[3]Изложницы!G27</f>
        <v>0</v>
      </c>
      <c r="BG29" s="56">
        <f>[3]Изложницы!H27</f>
        <v>0</v>
      </c>
      <c r="BH29" s="56">
        <f>[3]Изложницы!I27</f>
        <v>0</v>
      </c>
    </row>
    <row r="30" spans="1:60" ht="14.4" x14ac:dyDescent="0.25">
      <c r="A30" s="68" t="s">
        <v>147</v>
      </c>
      <c r="B30" s="57" t="str">
        <f>_xlfn.IFNA(_xlfn.IFS(D30=E29,E30,D30=F29,F30,D30=G29,G30,D30=H29,H30),H25)</f>
        <v>242.04.464-2</v>
      </c>
      <c r="C30" s="57"/>
      <c r="D30" s="66" t="str">
        <f>VLOOKUP(Втулка!G8,Данные!A3:H27,8,FALSE())</f>
        <v>242.04.464</v>
      </c>
      <c r="E30" s="57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7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/>
      </c>
      <c r="G30" s="57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7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>242.04.464-2</v>
      </c>
      <c r="I30" s="209"/>
      <c r="L30" s="134" t="str">
        <f>[1]Планки!H30</f>
        <v>б/н</v>
      </c>
      <c r="M30" s="134">
        <f>[1]Планки!I30</f>
        <v>890</v>
      </c>
      <c r="N30" s="134">
        <f>[1]Планки!J30</f>
        <v>250</v>
      </c>
      <c r="O30" s="224">
        <f>[1]Планки!K30</f>
        <v>640</v>
      </c>
      <c r="P30" s="224">
        <f>[1]Планки!L30</f>
        <v>240</v>
      </c>
      <c r="Q30" s="134">
        <f>[1]Планки!M30</f>
        <v>240</v>
      </c>
      <c r="R30" s="134">
        <f>[1]Планки!N30</f>
        <v>260</v>
      </c>
      <c r="S30" s="224">
        <f>[1]Планки!O30</f>
        <v>104</v>
      </c>
      <c r="T30" s="134">
        <f>[1]Планки!P30</f>
        <v>104</v>
      </c>
      <c r="U30" s="134">
        <f>[1]Планки!Q30</f>
        <v>160</v>
      </c>
      <c r="V30" s="134" t="str">
        <f>[1]Планки!R30</f>
        <v>с 19.09.2017</v>
      </c>
      <c r="AB30" s="215"/>
      <c r="AC30" s="215">
        <f>'[2]Изложницы без бурта'!A30</f>
        <v>0</v>
      </c>
      <c r="AD30" s="215">
        <f>'[2]Изложницы без бурта'!B30</f>
        <v>67.5</v>
      </c>
      <c r="AE30" s="215">
        <f>'[2]Изложницы без бурта'!C30</f>
        <v>245</v>
      </c>
      <c r="AF30" s="56">
        <f>'[2]Изложницы без бурта'!D30</f>
        <v>140</v>
      </c>
      <c r="AG30" s="56">
        <f>'[2]Изложницы без бурта'!E30</f>
        <v>115</v>
      </c>
      <c r="AH30" s="56" t="str">
        <f>'[2]Изложницы без бурта'!F30</f>
        <v>7211867-4</v>
      </c>
      <c r="AI30" s="56">
        <f>'[2]Изложницы без бурта'!G30</f>
        <v>0</v>
      </c>
      <c r="AJ30" s="56">
        <f>'[2]Изложницы без бурта'!H30</f>
        <v>0</v>
      </c>
      <c r="AK30" s="56">
        <f>'[2]Изложницы без бурта'!I30</f>
        <v>0</v>
      </c>
      <c r="AL30" s="56">
        <f>'[2]Изложницы без бурта'!J30</f>
        <v>0</v>
      </c>
      <c r="AM30" s="56" t="str">
        <f>'[2]Изложницы без бурта'!K30</f>
        <v>Конусность 1:50</v>
      </c>
      <c r="AR30" s="359">
        <v>250</v>
      </c>
      <c r="AS30" s="359">
        <v>170</v>
      </c>
      <c r="AT30" s="359">
        <v>265</v>
      </c>
      <c r="AU30" s="359">
        <v>230</v>
      </c>
      <c r="AV30" s="359">
        <v>285</v>
      </c>
      <c r="AW30" s="358">
        <v>320</v>
      </c>
      <c r="AX30" s="384" t="s">
        <v>487</v>
      </c>
      <c r="AZ30" s="56">
        <f>[3]Изложницы!A28</f>
        <v>125</v>
      </c>
      <c r="BA30" s="56">
        <f>[3]Изложницы!B28</f>
        <v>125</v>
      </c>
      <c r="BB30" s="56">
        <f>[3]Изложницы!C28</f>
        <v>400</v>
      </c>
      <c r="BC30" s="56">
        <f>[3]Изложницы!D28</f>
        <v>0</v>
      </c>
      <c r="BD30" s="56" t="str">
        <f>[3]Изложницы!E28</f>
        <v>нет кокиля</v>
      </c>
      <c r="BE30" s="56">
        <f>[3]Изложницы!F28</f>
        <v>270</v>
      </c>
      <c r="BF30" s="56">
        <f>[3]Изложницы!G28</f>
        <v>85</v>
      </c>
      <c r="BG30" s="56" t="str">
        <f>[3]Изложницы!H28</f>
        <v>72.11.802</v>
      </c>
      <c r="BH30" s="56">
        <f>[3]Изложницы!I28</f>
        <v>0</v>
      </c>
    </row>
    <row r="31" spans="1:60" ht="15" thickBot="1" x14ac:dyDescent="0.3">
      <c r="A31" s="237" t="s">
        <v>26</v>
      </c>
      <c r="B31" s="69">
        <f>ROUND(_xlfn.IFS(D30=E29,E31,D30=F29,F31,D30=G29,G31,D30=H29,H31,D30=I29,I31),2)</f>
        <v>45.11</v>
      </c>
      <c r="C31" s="69"/>
      <c r="D31" s="69"/>
      <c r="E31" s="69"/>
      <c r="F31" s="69" t="e">
        <f>G131</f>
        <v>#N/A</v>
      </c>
      <c r="G31" s="238" t="e">
        <f>H102</f>
        <v>#N/A</v>
      </c>
      <c r="H31" s="238">
        <f>I117</f>
        <v>45.114652630649999</v>
      </c>
      <c r="I31" s="239">
        <f>(14*70*7.1*(Втулка!N5+Данные!F35)/1000000)+(Втулка!N28*Втулка!N28*3.1415926*7.1*(Втулка!N5+Данные!F35)/4000000)</f>
        <v>3.5068320000000002</v>
      </c>
      <c r="L31" s="134">
        <f>[1]Планки!H31</f>
        <v>89</v>
      </c>
      <c r="M31" s="134">
        <f>[1]Планки!I31</f>
        <v>760</v>
      </c>
      <c r="N31" s="134">
        <f>[1]Планки!J31</f>
        <v>120</v>
      </c>
      <c r="O31" s="224">
        <f>[1]Планки!K31</f>
        <v>640</v>
      </c>
      <c r="P31" s="224">
        <f>[1]Планки!L31</f>
        <v>275</v>
      </c>
      <c r="Q31" s="134">
        <f>[1]Планки!M31</f>
        <v>285</v>
      </c>
      <c r="R31" s="134">
        <f>[1]Планки!N31</f>
        <v>310</v>
      </c>
      <c r="S31" s="224">
        <f>[1]Планки!O31</f>
        <v>37</v>
      </c>
      <c r="T31" s="134">
        <f>[1]Планки!P31</f>
        <v>45</v>
      </c>
      <c r="U31" s="134">
        <f>[1]Планки!Q31</f>
        <v>190</v>
      </c>
      <c r="V31" s="134" t="str">
        <f>[1]Планки!R31</f>
        <v>модель нашита  (L4=32 L5=40 L6=185)</v>
      </c>
      <c r="AB31" s="215"/>
      <c r="AC31" s="215">
        <f>'[2]Изложницы без бурта'!A31</f>
        <v>0</v>
      </c>
      <c r="AD31" s="215">
        <f>'[2]Изложницы без бурта'!B31</f>
        <v>67.5</v>
      </c>
      <c r="AE31" s="215">
        <f>'[2]Изложницы без бурта'!C31</f>
        <v>245</v>
      </c>
      <c r="AF31" s="56">
        <f>'[2]Изложницы без бурта'!D31</f>
        <v>140</v>
      </c>
      <c r="AG31" s="56">
        <f>'[2]Изложницы без бурта'!E31</f>
        <v>115</v>
      </c>
      <c r="AH31" s="56" t="str">
        <f>'[2]Изложницы без бурта'!F31</f>
        <v>7211867-4</v>
      </c>
      <c r="AI31" s="56">
        <f>'[2]Изложницы без бурта'!G31</f>
        <v>0</v>
      </c>
      <c r="AJ31" s="56">
        <f>'[2]Изложницы без бурта'!H31</f>
        <v>0</v>
      </c>
      <c r="AK31" s="56">
        <f>'[2]Изложницы без бурта'!I31</f>
        <v>0</v>
      </c>
      <c r="AL31" s="56">
        <f>'[2]Изложницы без бурта'!J31</f>
        <v>0</v>
      </c>
      <c r="AM31" s="56">
        <f>'[2]Изложницы без бурта'!K31</f>
        <v>0</v>
      </c>
      <c r="AR31" s="359">
        <v>250</v>
      </c>
      <c r="AS31" s="359">
        <v>170</v>
      </c>
      <c r="AT31" s="359">
        <v>265</v>
      </c>
      <c r="AU31" s="359">
        <v>230</v>
      </c>
      <c r="AV31" s="359">
        <v>285</v>
      </c>
      <c r="AW31" s="358">
        <v>320</v>
      </c>
      <c r="AX31" s="384" t="s">
        <v>487</v>
      </c>
      <c r="AZ31" s="56">
        <f>[3]Изложницы!A29</f>
        <v>120</v>
      </c>
      <c r="BA31" s="56">
        <f>[3]Изложницы!B29</f>
        <v>120</v>
      </c>
      <c r="BB31" s="56">
        <f>[3]Изложницы!C29</f>
        <v>300</v>
      </c>
      <c r="BC31" s="56">
        <f>[3]Изложницы!D29</f>
        <v>0</v>
      </c>
      <c r="BD31" s="56" t="str">
        <f>[3]Изложницы!E29</f>
        <v>Кол-во кокилей -3шт  Кокиль разъемный, прибыль: Ø200/210, h-40</v>
      </c>
      <c r="BE31" s="56">
        <f>[3]Изложницы!F29</f>
        <v>270</v>
      </c>
      <c r="BF31" s="56">
        <f>[3]Изложницы!G29</f>
        <v>91</v>
      </c>
      <c r="BG31" s="56" t="str">
        <f>[3]Изложницы!H29</f>
        <v>72.11.802</v>
      </c>
      <c r="BH31" s="56">
        <f>[3]Изложницы!I29</f>
        <v>0</v>
      </c>
    </row>
    <row r="32" spans="1:60" ht="14.4" x14ac:dyDescent="0.25">
      <c r="A32" s="312" t="s">
        <v>252</v>
      </c>
      <c r="B32" s="775">
        <f>Втулка!N5</f>
        <v>189</v>
      </c>
      <c r="C32" s="776" t="s">
        <v>311</v>
      </c>
      <c r="D32" s="775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4</v>
      </c>
      <c r="E32" s="775" t="s">
        <v>253</v>
      </c>
      <c r="F32" s="240">
        <f>VLOOKUP(D32,A137:F154,6,FALSE)</f>
        <v>2.5</v>
      </c>
      <c r="G32" s="781" t="s">
        <v>266</v>
      </c>
      <c r="H32" s="775"/>
      <c r="I32" s="777"/>
      <c r="L32" s="134">
        <f>[1]Планки!H32</f>
        <v>85</v>
      </c>
      <c r="M32" s="134">
        <f>[1]Планки!I32</f>
        <v>940</v>
      </c>
      <c r="N32" s="134">
        <f>[1]Планки!J32</f>
        <v>300</v>
      </c>
      <c r="O32" s="224">
        <f>[1]Планки!K32</f>
        <v>640</v>
      </c>
      <c r="P32" s="224">
        <f>[1]Планки!L32</f>
        <v>290</v>
      </c>
      <c r="Q32" s="134">
        <f>[1]Планки!M32</f>
        <v>310</v>
      </c>
      <c r="R32" s="134">
        <f>[1]Планки!N32</f>
        <v>375</v>
      </c>
      <c r="S32" s="224">
        <f>[1]Планки!O32</f>
        <v>75</v>
      </c>
      <c r="T32" s="134">
        <f>[1]Планки!P32</f>
        <v>85</v>
      </c>
      <c r="U32" s="134">
        <f>[1]Планки!Q32</f>
        <v>200</v>
      </c>
      <c r="V32" s="134" t="str">
        <f>[1]Планки!R32</f>
        <v>модель нашита  (L4=57 L5=67 L6=170)</v>
      </c>
      <c r="AB32" s="215"/>
      <c r="AC32" s="215">
        <f>'[2]Изложницы без бурта'!A32</f>
        <v>0</v>
      </c>
      <c r="AD32" s="215">
        <f>'[2]Изложницы без бурта'!B32</f>
        <v>67.5</v>
      </c>
      <c r="AE32" s="215">
        <f>'[2]Изложницы без бурта'!C32</f>
        <v>245</v>
      </c>
      <c r="AF32" s="56">
        <f>'[2]Изложницы без бурта'!D32</f>
        <v>140</v>
      </c>
      <c r="AG32" s="56">
        <f>'[2]Изложницы без бурта'!E32</f>
        <v>115</v>
      </c>
      <c r="AH32" s="56" t="str">
        <f>'[2]Изложницы без бурта'!F32</f>
        <v>7211867-4</v>
      </c>
      <c r="AI32" s="56">
        <f>'[2]Изложницы без бурта'!G32</f>
        <v>0</v>
      </c>
      <c r="AJ32" s="56">
        <f>'[2]Изложницы без бурта'!H32</f>
        <v>0</v>
      </c>
      <c r="AK32" s="56" t="str">
        <f>'[2]Изложницы без бурта'!I32</f>
        <v xml:space="preserve">130 - фактический размер сильно отличается от старого перечня </v>
      </c>
      <c r="AL32" s="56">
        <f>'[2]Изложницы без бурта'!J32</f>
        <v>0</v>
      </c>
      <c r="AM32" s="56">
        <f>'[2]Изложницы без бурта'!K32</f>
        <v>0</v>
      </c>
      <c r="AR32" s="359">
        <v>250</v>
      </c>
      <c r="AS32" s="359">
        <v>170</v>
      </c>
      <c r="AT32" s="359">
        <v>265</v>
      </c>
      <c r="AU32" s="359">
        <v>230</v>
      </c>
      <c r="AV32" s="359">
        <v>285</v>
      </c>
      <c r="AW32" s="358">
        <v>320</v>
      </c>
      <c r="AX32" s="384" t="s">
        <v>487</v>
      </c>
      <c r="AZ32" s="56">
        <f>[3]Изложницы!A30</f>
        <v>110</v>
      </c>
      <c r="BA32" s="56">
        <f>[3]Изложницы!B30</f>
        <v>115</v>
      </c>
      <c r="BB32" s="56">
        <f>[3]Изложницы!C30</f>
        <v>400</v>
      </c>
      <c r="BC32" s="56">
        <f>[3]Изложницы!D30</f>
        <v>0</v>
      </c>
      <c r="BD32" s="56" t="str">
        <f>[3]Изложницы!E30</f>
        <v>Требуется замена, крупная сетка разгара</v>
      </c>
      <c r="BE32" s="56">
        <f>[3]Изложницы!F30</f>
        <v>270</v>
      </c>
      <c r="BF32" s="56">
        <f>[3]Изложницы!G30</f>
        <v>95</v>
      </c>
      <c r="BG32" s="56" t="str">
        <f>[3]Изложницы!H30</f>
        <v>72.11.802</v>
      </c>
      <c r="BH32" s="56">
        <f>[3]Изложницы!I30</f>
        <v>0</v>
      </c>
    </row>
    <row r="33" spans="1:60" ht="15" thickBot="1" x14ac:dyDescent="0.3">
      <c r="A33" s="317" t="s">
        <v>408</v>
      </c>
      <c r="B33" s="240">
        <f>Втулка!J29+F32*2</f>
        <v>724</v>
      </c>
      <c r="C33" s="240">
        <f>(Втулка!J29+Данные!B33)/2</f>
        <v>721.5</v>
      </c>
      <c r="D33" s="240" t="s">
        <v>409</v>
      </c>
      <c r="E33" s="240" t="s">
        <v>274</v>
      </c>
      <c r="F33" s="240" t="b">
        <v>0</v>
      </c>
      <c r="G33" s="782" t="s">
        <v>267</v>
      </c>
      <c r="H33" s="782">
        <f>(Втулка!J29-Втулка!I29)/2</f>
        <v>119.5</v>
      </c>
      <c r="I33" s="778"/>
      <c r="L33" s="134">
        <f>[1]Планки!H33</f>
        <v>79</v>
      </c>
      <c r="M33" s="134">
        <f>[1]Планки!I33</f>
        <v>795</v>
      </c>
      <c r="N33" s="134">
        <f>[1]Планки!J33</f>
        <v>150</v>
      </c>
      <c r="O33" s="224">
        <f>[1]Планки!K33</f>
        <v>645</v>
      </c>
      <c r="P33" s="224">
        <f>[1]Планки!L33</f>
        <v>137</v>
      </c>
      <c r="Q33" s="134">
        <f>[1]Планки!M33</f>
        <v>150</v>
      </c>
      <c r="R33" s="134">
        <f>[1]Планки!N33</f>
        <v>185</v>
      </c>
      <c r="S33" s="224">
        <f>[1]Планки!O33</f>
        <v>37</v>
      </c>
      <c r="T33" s="134">
        <f>[1]Планки!P33</f>
        <v>50</v>
      </c>
      <c r="U33" s="134">
        <f>[1]Планки!Q33</f>
        <v>105</v>
      </c>
      <c r="V33" s="134" t="str">
        <f>[1]Планки!R33</f>
        <v>модель нашита  (L4=32 L5=45 L6=100)</v>
      </c>
      <c r="AB33" s="215"/>
      <c r="AC33" s="215">
        <f>'[2]Изложницы без бурта'!A33</f>
        <v>0</v>
      </c>
      <c r="AD33" s="215">
        <f>'[2]Изложницы без бурта'!B33</f>
        <v>67.5</v>
      </c>
      <c r="AE33" s="215">
        <f>'[2]Изложницы без бурта'!C33</f>
        <v>245</v>
      </c>
      <c r="AF33" s="56">
        <f>'[2]Изложницы без бурта'!D33</f>
        <v>140</v>
      </c>
      <c r="AG33" s="56">
        <f>'[2]Изложницы без бурта'!E33</f>
        <v>115</v>
      </c>
      <c r="AH33" s="56" t="str">
        <f>'[2]Изложницы без бурта'!F33</f>
        <v>7211867-4</v>
      </c>
      <c r="AI33" s="56">
        <f>'[2]Изложницы без бурта'!G33</f>
        <v>0</v>
      </c>
      <c r="AJ33" s="56">
        <f>'[2]Изложницы без бурта'!H33</f>
        <v>0</v>
      </c>
      <c r="AK33" s="56">
        <f>'[2]Изложницы без бурта'!I33</f>
        <v>0</v>
      </c>
      <c r="AL33" s="56">
        <f>'[2]Изложницы без бурта'!J33</f>
        <v>0</v>
      </c>
      <c r="AM33" s="56">
        <f>'[2]Изложницы без бурта'!K33</f>
        <v>0</v>
      </c>
      <c r="AR33" s="359">
        <v>190</v>
      </c>
      <c r="AS33" s="359">
        <v>170</v>
      </c>
      <c r="AT33" s="360">
        <v>263</v>
      </c>
      <c r="AU33" s="360">
        <v>213</v>
      </c>
      <c r="AV33" s="359">
        <v>285</v>
      </c>
      <c r="AW33" s="358">
        <v>320</v>
      </c>
      <c r="AX33" s="384" t="s">
        <v>488</v>
      </c>
      <c r="AZ33" s="56">
        <f>[3]Изложницы!A31</f>
        <v>105</v>
      </c>
      <c r="BA33" s="56">
        <f>[3]Изложницы!B31</f>
        <v>115</v>
      </c>
      <c r="BB33" s="56">
        <f>[3]Изложницы!C31</f>
        <v>440</v>
      </c>
      <c r="BC33" s="56">
        <f>[3]Изложницы!D31</f>
        <v>0</v>
      </c>
      <c r="BD33" s="56" t="str">
        <f>[3]Изложницы!E31</f>
        <v>Кокиль вытряхной</v>
      </c>
      <c r="BE33" s="56">
        <f>[3]Изложницы!F31</f>
        <v>0</v>
      </c>
      <c r="BF33" s="56">
        <f>[3]Изложницы!G31</f>
        <v>0</v>
      </c>
      <c r="BG33" s="56">
        <f>[3]Изложницы!H31</f>
        <v>0</v>
      </c>
      <c r="BH33" s="56">
        <f>[3]Изложницы!I31</f>
        <v>0</v>
      </c>
    </row>
    <row r="34" spans="1:60" ht="15" thickBot="1" x14ac:dyDescent="0.3">
      <c r="A34" s="317" t="s">
        <v>255</v>
      </c>
      <c r="B34" s="240">
        <f>((C33*C33-Втулка!I29*Втулка!I29)*3.1415926*(Втулка!F23+15)*Втулка!N8)/4000000</f>
        <v>345.25773494000379</v>
      </c>
      <c r="C34" s="240"/>
      <c r="D34" s="240"/>
      <c r="E34" s="240" t="s">
        <v>276</v>
      </c>
      <c r="F34" s="240" t="b">
        <v>0</v>
      </c>
      <c r="G34" s="782" t="s">
        <v>269</v>
      </c>
      <c r="H34" s="782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1080-1100</v>
      </c>
      <c r="I34" s="778"/>
      <c r="L34" s="134">
        <f>[1]Планки!H34</f>
        <v>11</v>
      </c>
      <c r="M34" s="134">
        <f>[1]Планки!I34</f>
        <v>810</v>
      </c>
      <c r="N34" s="134">
        <f>[1]Планки!J34</f>
        <v>165</v>
      </c>
      <c r="O34" s="224">
        <f>[1]Планки!K34</f>
        <v>645</v>
      </c>
      <c r="P34" s="224">
        <f>[1]Планки!L34</f>
        <v>195</v>
      </c>
      <c r="Q34" s="134">
        <f>[1]Планки!M34</f>
        <v>210</v>
      </c>
      <c r="R34" s="134">
        <f>[1]Планки!N34</f>
        <v>245</v>
      </c>
      <c r="S34" s="224">
        <f>[1]Планки!O34</f>
        <v>40</v>
      </c>
      <c r="T34" s="134">
        <f>[1]Планки!P34</f>
        <v>47</v>
      </c>
      <c r="U34" s="134">
        <f>[1]Планки!Q34</f>
        <v>120</v>
      </c>
      <c r="V34" s="134">
        <f>[1]Планки!R34</f>
        <v>0</v>
      </c>
      <c r="AB34" s="215"/>
      <c r="AC34" s="215">
        <f>'[2]Изложницы без бурта'!A34</f>
        <v>0</v>
      </c>
      <c r="AD34" s="215">
        <f>'[2]Изложницы без бурта'!B34</f>
        <v>67.5</v>
      </c>
      <c r="AE34" s="215">
        <f>'[2]Изложницы без бурта'!C34</f>
        <v>243</v>
      </c>
      <c r="AF34" s="56">
        <f>'[2]Изложницы без бурта'!D34</f>
        <v>140</v>
      </c>
      <c r="AG34" s="56">
        <f>'[2]Изложницы без бурта'!E34</f>
        <v>115</v>
      </c>
      <c r="AH34" s="56" t="str">
        <f>'[2]Изложницы без бурта'!F34</f>
        <v>7211867-4</v>
      </c>
      <c r="AI34" s="56">
        <f>'[2]Изложницы без бурта'!G34</f>
        <v>0</v>
      </c>
      <c r="AJ34" s="56">
        <f>'[2]Изложницы без бурта'!H34</f>
        <v>0</v>
      </c>
      <c r="AK34" s="56" t="str">
        <f>'[2]Изложницы без бурта'!I34</f>
        <v>изложница находится на 2 участке</v>
      </c>
      <c r="AL34" s="56">
        <f>'[2]Изложницы без бурта'!J34</f>
        <v>0</v>
      </c>
      <c r="AM34" s="56">
        <f>'[2]Изложницы без бурта'!K34</f>
        <v>0</v>
      </c>
      <c r="AR34" s="359">
        <v>250</v>
      </c>
      <c r="AS34" s="366">
        <v>170</v>
      </c>
      <c r="AT34" s="367">
        <v>260</v>
      </c>
      <c r="AU34" s="367">
        <v>200</v>
      </c>
      <c r="AV34" s="359">
        <v>285</v>
      </c>
      <c r="AW34" s="358">
        <v>320</v>
      </c>
      <c r="AX34" s="384" t="s">
        <v>487</v>
      </c>
      <c r="AZ34" s="56">
        <f>[3]Изложницы!A32</f>
        <v>105</v>
      </c>
      <c r="BA34" s="56">
        <f>[3]Изложницы!B32</f>
        <v>105</v>
      </c>
      <c r="BB34" s="56">
        <f>[3]Изложницы!C32</f>
        <v>400</v>
      </c>
      <c r="BC34" s="56">
        <f>[3]Изложницы!D32</f>
        <v>0</v>
      </c>
      <c r="BD34" s="56">
        <f>[3]Изложницы!E32</f>
        <v>0</v>
      </c>
      <c r="BE34" s="56">
        <f>[3]Изложницы!F32</f>
        <v>250</v>
      </c>
      <c r="BF34" s="56">
        <f>[3]Изложницы!G32</f>
        <v>63</v>
      </c>
      <c r="BG34" s="56" t="str">
        <f>[3]Изложницы!H32</f>
        <v>72.11.802</v>
      </c>
      <c r="BH34" s="56">
        <f>[3]Изложницы!I32</f>
        <v>0</v>
      </c>
    </row>
    <row r="35" spans="1:60" ht="16.2" thickBot="1" x14ac:dyDescent="0.35">
      <c r="A35" s="317" t="s">
        <v>256</v>
      </c>
      <c r="B35" s="1111">
        <f>IF(Втулка!O6=0,Данные!I36,Данные!I37)</f>
        <v>904.4164936061469</v>
      </c>
      <c r="C35" s="240" t="s">
        <v>353</v>
      </c>
      <c r="D35" s="240">
        <f>B33+(Данные!F35/10)+Втулка!E25*2</f>
        <v>847.5</v>
      </c>
      <c r="E35" s="240" t="s">
        <v>1277</v>
      </c>
      <c r="F35" s="977">
        <f>MROUND(Втулка!N7*G35,5)</f>
        <v>315</v>
      </c>
      <c r="G35" s="779">
        <f>IF(B32&gt;=900,H35+0.1,H35)</f>
        <v>2.6</v>
      </c>
      <c r="H35" s="779">
        <f>IF(Втулка!N7&lt;=50,2.7,2.6)</f>
        <v>2.6</v>
      </c>
      <c r="I35" s="784"/>
      <c r="L35" s="134">
        <f>[1]Планки!H35</f>
        <v>77</v>
      </c>
      <c r="M35" s="134">
        <f>[1]Планки!I35</f>
        <v>740</v>
      </c>
      <c r="N35" s="134">
        <f>[1]Планки!J35</f>
        <v>95</v>
      </c>
      <c r="O35" s="224">
        <f>[1]Планки!K35</f>
        <v>645</v>
      </c>
      <c r="P35" s="224">
        <f>[1]Планки!L35</f>
        <v>215</v>
      </c>
      <c r="Q35" s="134">
        <f>[1]Планки!M35</f>
        <v>225</v>
      </c>
      <c r="R35" s="134">
        <f>[1]Планки!N35</f>
        <v>250</v>
      </c>
      <c r="S35" s="224">
        <f>[1]Планки!O35</f>
        <v>25</v>
      </c>
      <c r="T35" s="134">
        <f>[1]Планки!P35</f>
        <v>33</v>
      </c>
      <c r="U35" s="134">
        <f>[1]Планки!Q35</f>
        <v>70</v>
      </c>
      <c r="V35" s="134">
        <f>[1]Планки!R35</f>
        <v>0</v>
      </c>
      <c r="AB35" s="215"/>
      <c r="AC35" s="215">
        <f>'[2]Изложницы без бурта'!A35</f>
        <v>0</v>
      </c>
      <c r="AD35" s="215">
        <f>'[2]Изложницы без бурта'!B35</f>
        <v>67.5</v>
      </c>
      <c r="AE35" s="215">
        <f>'[2]Изложницы без бурта'!C35</f>
        <v>245</v>
      </c>
      <c r="AF35" s="56">
        <f>'[2]Изложницы без бурта'!D35</f>
        <v>140</v>
      </c>
      <c r="AG35" s="56">
        <f>'[2]Изложницы без бурта'!E35</f>
        <v>115</v>
      </c>
      <c r="AH35" s="56" t="str">
        <f>'[2]Изложницы без бурта'!F35</f>
        <v>7211867-4</v>
      </c>
      <c r="AI35" s="56">
        <f>'[2]Изложницы без бурта'!G35</f>
        <v>0</v>
      </c>
      <c r="AJ35" s="56">
        <f>'[2]Изложницы без бурта'!H35</f>
        <v>0</v>
      </c>
      <c r="AK35" s="56">
        <f>'[2]Изложницы без бурта'!I35</f>
        <v>0</v>
      </c>
      <c r="AL35" s="56">
        <f>'[2]Изложницы без бурта'!J35</f>
        <v>0</v>
      </c>
      <c r="AM35" s="56">
        <f>'[2]Изложницы без бурта'!K35</f>
        <v>0</v>
      </c>
      <c r="AR35" s="359">
        <v>250</v>
      </c>
      <c r="AS35" s="359">
        <v>170</v>
      </c>
      <c r="AT35" s="358">
        <v>265</v>
      </c>
      <c r="AU35" s="358">
        <v>230</v>
      </c>
      <c r="AV35" s="359">
        <v>285</v>
      </c>
      <c r="AW35" s="358">
        <v>320</v>
      </c>
      <c r="AX35" s="384" t="s">
        <v>487</v>
      </c>
      <c r="AZ35" s="56">
        <f>[3]Изложницы!A33</f>
        <v>100</v>
      </c>
      <c r="BA35" s="56">
        <f>[3]Изложницы!B33</f>
        <v>100</v>
      </c>
      <c r="BB35" s="56">
        <f>[3]Изложницы!C33</f>
        <v>400</v>
      </c>
      <c r="BC35" s="56">
        <f>[3]Изложницы!D33</f>
        <v>0</v>
      </c>
      <c r="BD35" s="56" t="str">
        <f>[3]Изложницы!E33</f>
        <v>Требуется замена, крупная сетка разгара</v>
      </c>
      <c r="BE35" s="56">
        <f>[3]Изложницы!F33</f>
        <v>250</v>
      </c>
      <c r="BF35" s="56">
        <f>[3]Изложницы!G33</f>
        <v>65</v>
      </c>
      <c r="BG35" s="56" t="str">
        <f>[3]Изложницы!H33</f>
        <v>72.11.802</v>
      </c>
      <c r="BH35" s="56">
        <f>[3]Изложницы!I33</f>
        <v>0</v>
      </c>
    </row>
    <row r="36" spans="1:60" ht="14.4" x14ac:dyDescent="0.25">
      <c r="A36" s="317"/>
      <c r="B36" s="240">
        <f>ROUNDUP((B34+I36),0)</f>
        <v>1250</v>
      </c>
      <c r="C36" s="240"/>
      <c r="D36" s="240"/>
      <c r="E36" s="778"/>
      <c r="F36" s="780" t="s">
        <v>927</v>
      </c>
      <c r="G36" s="796">
        <f>VLOOKUP(Втулка!G8,A3:I27,9,FALSE())</f>
        <v>7.5</v>
      </c>
      <c r="H36" s="1795" t="s">
        <v>256</v>
      </c>
      <c r="I36" s="777">
        <f>((D35*D35-Втулка!I29*Втулка!I29)*3.1415926*Втулка!N8*Втулка!D23/0.985)/4000000</f>
        <v>904.4164936061469</v>
      </c>
      <c r="L36" s="134">
        <f>[1]Планки!H36</f>
        <v>75</v>
      </c>
      <c r="M36" s="134">
        <f>[1]Планки!I36</f>
        <v>760</v>
      </c>
      <c r="N36" s="134">
        <f>[1]Планки!J36</f>
        <v>110</v>
      </c>
      <c r="O36" s="224">
        <f>[1]Планки!K36</f>
        <v>650</v>
      </c>
      <c r="P36" s="224">
        <f>[1]Планки!L36</f>
        <v>237</v>
      </c>
      <c r="Q36" s="134">
        <f>[1]Планки!M36</f>
        <v>247</v>
      </c>
      <c r="R36" s="134">
        <f>[1]Планки!N36</f>
        <v>275</v>
      </c>
      <c r="S36" s="224">
        <f>[1]Планки!O36</f>
        <v>29</v>
      </c>
      <c r="T36" s="134">
        <f>[1]Планки!P36</f>
        <v>35</v>
      </c>
      <c r="U36" s="134">
        <f>[1]Планки!Q36</f>
        <v>75</v>
      </c>
      <c r="V36" s="134">
        <f>[1]Планки!R36</f>
        <v>0</v>
      </c>
      <c r="AB36" s="215"/>
      <c r="AC36" s="215">
        <f>'[2]Изложницы без бурта'!A36</f>
        <v>0</v>
      </c>
      <c r="AD36" s="215">
        <f>'[2]Изложницы без бурта'!B36</f>
        <v>67.5</v>
      </c>
      <c r="AE36" s="215">
        <f>'[2]Изложницы без бурта'!C36</f>
        <v>245</v>
      </c>
      <c r="AF36" s="56">
        <f>'[2]Изложницы без бурта'!D36</f>
        <v>140</v>
      </c>
      <c r="AG36" s="56">
        <f>'[2]Изложницы без бурта'!E36</f>
        <v>115</v>
      </c>
      <c r="AH36" s="56" t="str">
        <f>'[2]Изложницы без бурта'!F36</f>
        <v>7211867-4</v>
      </c>
      <c r="AI36" s="56">
        <f>'[2]Изложницы без бурта'!G36</f>
        <v>0</v>
      </c>
      <c r="AJ36" s="56">
        <f>'[2]Изложницы без бурта'!H36</f>
        <v>0</v>
      </c>
      <c r="AK36" s="56">
        <f>'[2]Изложницы без бурта'!I36</f>
        <v>0</v>
      </c>
      <c r="AL36" s="56">
        <f>'[2]Изложницы без бурта'!J36</f>
        <v>0</v>
      </c>
      <c r="AM36" s="56">
        <f>'[2]Изложницы без бурта'!K36</f>
        <v>0</v>
      </c>
      <c r="AR36" s="359">
        <v>190</v>
      </c>
      <c r="AS36" s="359">
        <v>172.5</v>
      </c>
      <c r="AT36" s="359">
        <v>265</v>
      </c>
      <c r="AU36" s="359">
        <v>215</v>
      </c>
      <c r="AV36" s="359">
        <v>285</v>
      </c>
      <c r="AW36" s="358">
        <v>320</v>
      </c>
      <c r="AX36" s="384" t="s">
        <v>488</v>
      </c>
      <c r="AZ36" s="56">
        <f>[3]Изложницы!A34</f>
        <v>95</v>
      </c>
      <c r="BA36" s="56">
        <f>[3]Изложницы!B34</f>
        <v>95</v>
      </c>
      <c r="BB36" s="56">
        <f>[3]Изложницы!C34</f>
        <v>400</v>
      </c>
      <c r="BC36" s="56">
        <f>[3]Изложницы!D34</f>
        <v>0</v>
      </c>
      <c r="BD36" s="56">
        <f>[3]Изложницы!E34</f>
        <v>0</v>
      </c>
      <c r="BE36" s="56">
        <f>[3]Изложницы!F34</f>
        <v>250</v>
      </c>
      <c r="BF36" s="56">
        <f>[3]Изложницы!G34</f>
        <v>67</v>
      </c>
      <c r="BG36" s="56" t="str">
        <f>[3]Изложницы!H34</f>
        <v>72.11.802</v>
      </c>
      <c r="BH36" s="56">
        <f>[3]Изложницы!I34</f>
        <v>0</v>
      </c>
    </row>
    <row r="37" spans="1:60" ht="15" thickBot="1" x14ac:dyDescent="0.3">
      <c r="A37" s="319" t="s">
        <v>272</v>
      </c>
      <c r="B37" s="779" t="b">
        <v>0</v>
      </c>
      <c r="C37" s="779" t="b">
        <v>0</v>
      </c>
      <c r="D37" s="779"/>
      <c r="E37" s="784"/>
      <c r="F37" s="774" t="s">
        <v>928</v>
      </c>
      <c r="G37" s="773" t="b">
        <f>IF(G36=8.88,IF(OR(B36&lt;=1500,Втулка!N5+Данные!F35&lt;=700),"242.04.463","242.04.462"))</f>
        <v>0</v>
      </c>
      <c r="H37" s="1796"/>
      <c r="I37" s="784">
        <f>((D35*D35-Втулка!I29*Втулка!I29)*3.1415926*Втулка!N8*Втулка!O6)/4000000</f>
        <v>0</v>
      </c>
      <c r="L37" s="134">
        <f>[1]Планки!H37</f>
        <v>88</v>
      </c>
      <c r="M37" s="134">
        <f>[1]Планки!I37</f>
        <v>800</v>
      </c>
      <c r="N37" s="134">
        <f>[1]Планки!J37</f>
        <v>150</v>
      </c>
      <c r="O37" s="224">
        <f>[1]Планки!K37</f>
        <v>650</v>
      </c>
      <c r="P37" s="224">
        <f>[1]Планки!L37</f>
        <v>305</v>
      </c>
      <c r="Q37" s="134">
        <f>[1]Планки!M37</f>
        <v>318</v>
      </c>
      <c r="R37" s="134">
        <f>[1]Планки!N37</f>
        <v>345</v>
      </c>
      <c r="S37" s="224">
        <f>[1]Планки!O37</f>
        <v>35</v>
      </c>
      <c r="T37" s="134">
        <f>[1]Планки!P37</f>
        <v>43</v>
      </c>
      <c r="U37" s="134">
        <f>[1]Планки!Q37</f>
        <v>110</v>
      </c>
      <c r="V37" s="134">
        <f>[1]Планки!R37</f>
        <v>0</v>
      </c>
      <c r="AB37" s="215"/>
      <c r="AC37" s="215">
        <f>'[2]Изложницы без бурта'!A37</f>
        <v>0</v>
      </c>
      <c r="AD37" s="215">
        <f>'[2]Изложницы без бурта'!B37</f>
        <v>70</v>
      </c>
      <c r="AE37" s="215">
        <f>'[2]Изложницы без бурта'!C37</f>
        <v>245</v>
      </c>
      <c r="AF37" s="56">
        <f>'[2]Изложницы без бурта'!D37</f>
        <v>140</v>
      </c>
      <c r="AG37" s="56">
        <f>'[2]Изложницы без бурта'!E37</f>
        <v>115</v>
      </c>
      <c r="AH37" s="56" t="str">
        <f>'[2]Изложницы без бурта'!F37</f>
        <v>7211867-5</v>
      </c>
      <c r="AI37" s="56">
        <f>'[2]Изложницы без бурта'!G37</f>
        <v>0</v>
      </c>
      <c r="AJ37" s="56">
        <f>'[2]Изложницы без бурта'!H37</f>
        <v>0</v>
      </c>
      <c r="AK37" s="56">
        <f>'[2]Изложницы без бурта'!I37</f>
        <v>0</v>
      </c>
      <c r="AL37" s="56">
        <f>'[2]Изложницы без бурта'!J37</f>
        <v>0</v>
      </c>
      <c r="AM37" s="56">
        <f>'[2]Изложницы без бурта'!K37</f>
        <v>0</v>
      </c>
      <c r="AR37" s="359">
        <v>250</v>
      </c>
      <c r="AS37" s="359">
        <v>177.5</v>
      </c>
      <c r="AT37" s="359">
        <v>265</v>
      </c>
      <c r="AU37" s="359">
        <v>215</v>
      </c>
      <c r="AV37" s="359">
        <v>285</v>
      </c>
      <c r="AW37" s="358">
        <v>320</v>
      </c>
      <c r="AX37" s="384" t="s">
        <v>489</v>
      </c>
      <c r="AZ37" s="56">
        <f>[3]Изложницы!A35</f>
        <v>90</v>
      </c>
      <c r="BA37" s="56">
        <f>[3]Изложницы!B35</f>
        <v>90</v>
      </c>
      <c r="BB37" s="56">
        <f>[3]Изложницы!C35</f>
        <v>400</v>
      </c>
      <c r="BC37" s="56">
        <f>[3]Изложницы!D35</f>
        <v>0</v>
      </c>
      <c r="BD37" s="56">
        <f>[3]Изложницы!E35</f>
        <v>0</v>
      </c>
      <c r="BE37" s="56">
        <f>[3]Изложницы!F35</f>
        <v>250</v>
      </c>
      <c r="BF37" s="56">
        <f>[3]Изложницы!G35</f>
        <v>65</v>
      </c>
      <c r="BG37" s="56" t="str">
        <f>[3]Изложницы!H35</f>
        <v>72.11.802</v>
      </c>
      <c r="BH37" s="56">
        <f>[3]Изложницы!I35</f>
        <v>0</v>
      </c>
    </row>
    <row r="38" spans="1:60" ht="15" thickBot="1" x14ac:dyDescent="0.3">
      <c r="A38" s="785" t="s">
        <v>273</v>
      </c>
      <c r="B38" s="1522" t="b">
        <v>0</v>
      </c>
      <c r="C38" s="786" t="str">
        <f>_xlfn.IFS(B38=TRUE,VLOOKUP(Планка!F8,Данные!A3:E22,5,FALSE),E40&lt;16,VLOOKUP(Планка!F8,Данные!A3:E22,2,FALSE),OR(E40&gt;=16,E40&lt;40),VLOOKUP(Планка!F8,Данные!A3:E22,3,FALSE),E40&gt;=40,VLOOKUP(Планка!F8,Данные!A3:E22,4,FALSE))</f>
        <v>1080-1100</v>
      </c>
      <c r="D38" s="787" t="s">
        <v>253</v>
      </c>
      <c r="E38" s="788">
        <f>VLOOKUP(E39,A137:F154,6,FALSE)</f>
        <v>7</v>
      </c>
      <c r="F38" s="783" t="s">
        <v>929</v>
      </c>
      <c r="G38" s="797"/>
      <c r="L38" s="134">
        <f>[1]Планки!H38</f>
        <v>55</v>
      </c>
      <c r="M38" s="134">
        <f>[1]Планки!I38</f>
        <v>795</v>
      </c>
      <c r="N38" s="134">
        <f>[1]Планки!J38</f>
        <v>140</v>
      </c>
      <c r="O38" s="224">
        <f>[1]Планки!K38</f>
        <v>655</v>
      </c>
      <c r="P38" s="224">
        <f>[1]Планки!L38</f>
        <v>292</v>
      </c>
      <c r="Q38" s="134">
        <f>[1]Планки!M38</f>
        <v>310</v>
      </c>
      <c r="R38" s="134">
        <f>[1]Планки!N38</f>
        <v>345</v>
      </c>
      <c r="S38" s="224">
        <f>[1]Планки!O38</f>
        <v>100</v>
      </c>
      <c r="T38" s="134">
        <f>[1]Планки!P38</f>
        <v>115</v>
      </c>
      <c r="U38" s="134">
        <f>[1]Планки!Q38</f>
        <v>220</v>
      </c>
      <c r="V38" s="134" t="str">
        <f>[1]Планки!R38</f>
        <v>модель нашита  (L4=35 L5=50 L6=160)</v>
      </c>
      <c r="AB38" s="215"/>
      <c r="AC38" s="215">
        <f>'[2]Изложницы без бурта'!A38</f>
        <v>0</v>
      </c>
      <c r="AD38" s="215">
        <f>'[2]Изложницы без бурта'!B38</f>
        <v>70</v>
      </c>
      <c r="AE38" s="215">
        <f>'[2]Изложницы без бурта'!C38</f>
        <v>240</v>
      </c>
      <c r="AF38" s="56">
        <f>'[2]Изложницы без бурта'!D38</f>
        <v>140</v>
      </c>
      <c r="AG38" s="56">
        <f>'[2]Изложницы без бурта'!E38</f>
        <v>115</v>
      </c>
      <c r="AH38" s="56" t="str">
        <f>'[2]Изложницы без бурта'!F38</f>
        <v>7211867-5</v>
      </c>
      <c r="AI38" s="56">
        <f>'[2]Изложницы без бурта'!G38</f>
        <v>0</v>
      </c>
      <c r="AJ38" s="56">
        <f>'[2]Изложницы без бурта'!H38</f>
        <v>0</v>
      </c>
      <c r="AK38" s="56">
        <f>'[2]Изложницы без бурта'!I38</f>
        <v>0</v>
      </c>
      <c r="AL38" s="56">
        <f>'[2]Изложницы без бурта'!J38</f>
        <v>0</v>
      </c>
      <c r="AM38" s="56" t="str">
        <f>'[2]Изложницы без бурта'!K38</f>
        <v>Посадки:</v>
      </c>
      <c r="AR38" s="359">
        <v>232</v>
      </c>
      <c r="AS38" s="359">
        <v>180</v>
      </c>
      <c r="AT38" s="359">
        <v>265</v>
      </c>
      <c r="AU38" s="359">
        <v>205</v>
      </c>
      <c r="AV38" s="359">
        <v>285</v>
      </c>
      <c r="AW38" s="358">
        <v>320</v>
      </c>
      <c r="AX38" s="384" t="s">
        <v>489</v>
      </c>
      <c r="AZ38" s="56">
        <f>[3]Изложницы!A36</f>
        <v>85</v>
      </c>
      <c r="BA38" s="56">
        <f>[3]Изложницы!B36</f>
        <v>85</v>
      </c>
      <c r="BB38" s="56">
        <f>[3]Изложницы!C36</f>
        <v>400</v>
      </c>
      <c r="BC38" s="56">
        <f>[3]Изложницы!D36</f>
        <v>0</v>
      </c>
      <c r="BD38" s="56">
        <f>[3]Изложницы!E36</f>
        <v>0</v>
      </c>
      <c r="BE38" s="56">
        <f>[3]Изложницы!F36</f>
        <v>250</v>
      </c>
      <c r="BF38" s="56">
        <f>[3]Изложницы!G36</f>
        <v>70</v>
      </c>
      <c r="BG38" s="56" t="str">
        <f>[3]Изложницы!H36</f>
        <v>72.11.802</v>
      </c>
      <c r="BH38" s="56" t="str">
        <f>[3]Изложницы!I36</f>
        <v>4шт.</v>
      </c>
    </row>
    <row r="39" spans="1:60" ht="14.4" x14ac:dyDescent="0.25">
      <c r="A39" s="789" t="s">
        <v>310</v>
      </c>
      <c r="B39" s="790" t="b">
        <v>0</v>
      </c>
      <c r="C39" s="791"/>
      <c r="D39" s="791" t="s">
        <v>312</v>
      </c>
      <c r="E39" s="792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11</v>
      </c>
      <c r="L39" s="134">
        <f>[1]Планки!H39</f>
        <v>101</v>
      </c>
      <c r="M39" s="134">
        <f>[1]Планки!I39</f>
        <v>800</v>
      </c>
      <c r="N39" s="134">
        <f>[1]Планки!J39</f>
        <v>140</v>
      </c>
      <c r="O39" s="224">
        <f>[1]Планки!K39</f>
        <v>660</v>
      </c>
      <c r="P39" s="224">
        <f>[1]Планки!L39</f>
        <v>155</v>
      </c>
      <c r="Q39" s="134">
        <f>[1]Планки!M39</f>
        <v>167</v>
      </c>
      <c r="R39" s="134">
        <f>[1]Планки!N39</f>
        <v>200</v>
      </c>
      <c r="S39" s="224">
        <f>[1]Планки!O39</f>
        <v>40</v>
      </c>
      <c r="T39" s="134">
        <f>[1]Планки!P39</f>
        <v>55</v>
      </c>
      <c r="U39" s="134">
        <f>[1]Планки!Q39</f>
        <v>120</v>
      </c>
      <c r="V39" s="134" t="str">
        <f>[1]Планки!R39</f>
        <v>модель нашита  (L4=25 L5=43 L6=100)</v>
      </c>
      <c r="AB39" s="215"/>
      <c r="AC39" s="215">
        <f>'[2]Изложницы без бурта'!A39</f>
        <v>0</v>
      </c>
      <c r="AD39" s="215">
        <f>'[2]Изложницы без бурта'!B39</f>
        <v>70</v>
      </c>
      <c r="AE39" s="215">
        <f>'[2]Изложницы без бурта'!C39</f>
        <v>245</v>
      </c>
      <c r="AF39" s="56">
        <f>'[2]Изложницы без бурта'!D39</f>
        <v>140</v>
      </c>
      <c r="AG39" s="56">
        <f>'[2]Изложницы без бурта'!E39</f>
        <v>115</v>
      </c>
      <c r="AH39" s="56" t="str">
        <f>'[2]Изложницы без бурта'!F39</f>
        <v>7211867-5</v>
      </c>
      <c r="AI39" s="56">
        <f>'[2]Изложницы без бурта'!G39</f>
        <v>0</v>
      </c>
      <c r="AJ39" s="56">
        <f>'[2]Изложницы без бурта'!H39</f>
        <v>0</v>
      </c>
      <c r="AK39" s="56">
        <f>'[2]Изложницы без бурта'!I39</f>
        <v>0</v>
      </c>
      <c r="AL39" s="56">
        <f>'[2]Изложницы без бурта'!J39</f>
        <v>0</v>
      </c>
      <c r="AM39" s="56">
        <f>'[2]Изложницы без бурта'!K39</f>
        <v>140</v>
      </c>
      <c r="AR39" s="359">
        <v>230</v>
      </c>
      <c r="AS39" s="359">
        <v>180</v>
      </c>
      <c r="AT39" s="359">
        <v>265</v>
      </c>
      <c r="AU39" s="359">
        <v>210</v>
      </c>
      <c r="AV39" s="359">
        <v>285</v>
      </c>
      <c r="AW39" s="358">
        <v>320</v>
      </c>
      <c r="AX39" s="384" t="s">
        <v>489</v>
      </c>
      <c r="AZ39" s="56">
        <f>[3]Изложницы!A37</f>
        <v>80</v>
      </c>
      <c r="BA39" s="56">
        <f>[3]Изложницы!B37</f>
        <v>80</v>
      </c>
      <c r="BB39" s="56">
        <f>[3]Изложницы!C37</f>
        <v>400</v>
      </c>
      <c r="BC39" s="56">
        <f>[3]Изложницы!D37</f>
        <v>0</v>
      </c>
      <c r="BD39" s="56">
        <f>[3]Изложницы!E37</f>
        <v>0</v>
      </c>
      <c r="BE39" s="56">
        <f>[3]Изложницы!F37</f>
        <v>220</v>
      </c>
      <c r="BF39" s="56">
        <f>[3]Изложницы!G37</f>
        <v>41</v>
      </c>
      <c r="BG39" s="56" t="str">
        <f>[3]Изложницы!H37</f>
        <v>72.11.802</v>
      </c>
      <c r="BH39" s="56">
        <f>[3]Изложницы!I37</f>
        <v>0</v>
      </c>
    </row>
    <row r="40" spans="1:60" ht="15" thickBot="1" x14ac:dyDescent="0.3">
      <c r="A40" s="789" t="s">
        <v>313</v>
      </c>
      <c r="B40" s="790">
        <f>Планка!M8</f>
        <v>1150</v>
      </c>
      <c r="C40" s="791"/>
      <c r="D40" s="791" t="s">
        <v>1207</v>
      </c>
      <c r="E40" s="792">
        <f>(Планка!M4+Планка!M5)/2</f>
        <v>80</v>
      </c>
      <c r="L40" s="134">
        <f>[1]Планки!H40</f>
        <v>102</v>
      </c>
      <c r="M40" s="134">
        <f>[1]Планки!I40</f>
        <v>800</v>
      </c>
      <c r="N40" s="134">
        <f>[1]Планки!J40</f>
        <v>140</v>
      </c>
      <c r="O40" s="224">
        <f>[1]Планки!K40</f>
        <v>660</v>
      </c>
      <c r="P40" s="224">
        <f>[1]Планки!L40</f>
        <v>155</v>
      </c>
      <c r="Q40" s="134">
        <f>[1]Планки!M40</f>
        <v>170</v>
      </c>
      <c r="R40" s="134">
        <f>[1]Планки!N40</f>
        <v>190</v>
      </c>
      <c r="S40" s="224">
        <f>[1]Планки!O40</f>
        <v>40</v>
      </c>
      <c r="T40" s="134">
        <f>[1]Планки!P40</f>
        <v>55</v>
      </c>
      <c r="U40" s="134">
        <f>[1]Планки!Q40</f>
        <v>110</v>
      </c>
      <c r="V40" s="134" t="str">
        <f>[1]Планки!R40</f>
        <v>модель нашита  (L4=27 L5=43 L6=100)</v>
      </c>
      <c r="AB40" s="215"/>
      <c r="AC40" s="215">
        <f>'[2]Изложницы без бурта'!A40</f>
        <v>0</v>
      </c>
      <c r="AD40" s="215">
        <f>'[2]Изложницы без бурта'!B40</f>
        <v>70</v>
      </c>
      <c r="AE40" s="215">
        <f>'[2]Изложницы без бурта'!C40</f>
        <v>245</v>
      </c>
      <c r="AF40" s="56">
        <f>'[2]Изложницы без бурта'!D40</f>
        <v>140</v>
      </c>
      <c r="AG40" s="56">
        <f>'[2]Изложницы без бурта'!E40</f>
        <v>115</v>
      </c>
      <c r="AH40" s="56" t="str">
        <f>'[2]Изложницы без бурта'!F40</f>
        <v>7211867-5</v>
      </c>
      <c r="AI40" s="56">
        <f>'[2]Изложницы без бурта'!G40</f>
        <v>0</v>
      </c>
      <c r="AJ40" s="56">
        <f>'[2]Изложницы без бурта'!H40</f>
        <v>0</v>
      </c>
      <c r="AK40" s="56">
        <f>'[2]Изложницы без бурта'!I40</f>
        <v>0</v>
      </c>
      <c r="AL40" s="56">
        <f>'[2]Изложницы без бурта'!J40</f>
        <v>0</v>
      </c>
      <c r="AM40" s="56">
        <f>'[2]Изложницы без бурта'!K40</f>
        <v>185</v>
      </c>
      <c r="AR40" s="359">
        <v>220</v>
      </c>
      <c r="AS40" s="360">
        <v>190</v>
      </c>
      <c r="AT40" s="359">
        <v>200</v>
      </c>
      <c r="AU40" s="359">
        <v>145</v>
      </c>
      <c r="AV40" s="359">
        <v>285</v>
      </c>
      <c r="AW40" s="358">
        <v>320</v>
      </c>
      <c r="AX40" s="384" t="s">
        <v>490</v>
      </c>
      <c r="AZ40" s="56">
        <f>[3]Изложницы!A38</f>
        <v>78</v>
      </c>
      <c r="BA40" s="56">
        <f>[3]Изложницы!B38</f>
        <v>97</v>
      </c>
      <c r="BB40" s="56">
        <f>[3]Изложницы!C38</f>
        <v>440</v>
      </c>
      <c r="BC40" s="56">
        <f>[3]Изложницы!D38</f>
        <v>0</v>
      </c>
      <c r="BD40" s="56" t="str">
        <f>[3]Изложницы!E38</f>
        <v>Кокиль вытряхной</v>
      </c>
      <c r="BE40" s="56">
        <f>[3]Изложницы!F38</f>
        <v>170</v>
      </c>
      <c r="BF40" s="56" t="str">
        <f>[3]Изложницы!G38</f>
        <v>Возможно использовать как нарощалку</v>
      </c>
      <c r="BG40" s="56">
        <f>[3]Изложницы!H38</f>
        <v>0</v>
      </c>
      <c r="BH40" s="56">
        <f>[3]Изложницы!I38</f>
        <v>0</v>
      </c>
    </row>
    <row r="41" spans="1:60" ht="15" thickBot="1" x14ac:dyDescent="0.3">
      <c r="A41" s="789" t="s">
        <v>321</v>
      </c>
      <c r="B41" s="790"/>
      <c r="C41" s="791"/>
      <c r="D41" s="791"/>
      <c r="E41" s="792"/>
      <c r="L41" s="134">
        <f>[1]Планки!H41</f>
        <v>22</v>
      </c>
      <c r="M41" s="134">
        <f>[1]Планки!I41</f>
        <v>840</v>
      </c>
      <c r="N41" s="134">
        <f>[1]Планки!J41</f>
        <v>180</v>
      </c>
      <c r="O41" s="224">
        <f>[1]Планки!K41</f>
        <v>660</v>
      </c>
      <c r="P41" s="224">
        <f>[1]Планки!L41</f>
        <v>294</v>
      </c>
      <c r="Q41" s="134">
        <f>[1]Планки!M41</f>
        <v>310</v>
      </c>
      <c r="R41" s="134">
        <f>[1]Планки!N41</f>
        <v>350</v>
      </c>
      <c r="S41" s="224">
        <f>[1]Планки!O41</f>
        <v>107</v>
      </c>
      <c r="T41" s="134">
        <f>[1]Планки!P41</f>
        <v>117</v>
      </c>
      <c r="U41" s="134">
        <f>[1]Планки!Q41</f>
        <v>185</v>
      </c>
      <c r="V41" s="134" t="str">
        <f>[1]Планки!R41</f>
        <v>модель нашита  (L4=45 L5=50 L6=120)</v>
      </c>
      <c r="AB41" s="215"/>
      <c r="AC41" s="215">
        <f>'[2]Изложницы без бурта'!A41</f>
        <v>0</v>
      </c>
      <c r="AD41" s="215">
        <f>'[2]Изложницы без бурта'!B41</f>
        <v>70</v>
      </c>
      <c r="AE41" s="215">
        <f>'[2]Изложницы без бурта'!C41</f>
        <v>240</v>
      </c>
      <c r="AF41" s="56">
        <f>'[2]Изложницы без бурта'!D41</f>
        <v>140</v>
      </c>
      <c r="AG41" s="56">
        <f>'[2]Изложницы без бурта'!E41</f>
        <v>115</v>
      </c>
      <c r="AH41" s="56" t="str">
        <f>'[2]Изложницы без бурта'!F41</f>
        <v>7211867-5</v>
      </c>
      <c r="AI41" s="56">
        <f>'[2]Изложницы без бурта'!G41</f>
        <v>0</v>
      </c>
      <c r="AJ41" s="56">
        <f>'[2]Изложницы без бурта'!H41</f>
        <v>0</v>
      </c>
      <c r="AK41" s="56">
        <f>'[2]Изложницы без бурта'!I41</f>
        <v>0</v>
      </c>
      <c r="AL41" s="56">
        <f>'[2]Изложницы без бурта'!J41</f>
        <v>0</v>
      </c>
      <c r="AM41" s="56">
        <f>'[2]Изложницы без бурта'!K41</f>
        <v>285</v>
      </c>
      <c r="AR41" s="366">
        <v>250</v>
      </c>
      <c r="AS41" s="367">
        <v>190</v>
      </c>
      <c r="AT41" s="368">
        <v>265</v>
      </c>
      <c r="AU41" s="359">
        <v>228</v>
      </c>
      <c r="AV41" s="359">
        <v>285</v>
      </c>
      <c r="AW41" s="358">
        <v>320</v>
      </c>
      <c r="AX41" s="384" t="s">
        <v>487</v>
      </c>
      <c r="AZ41" s="56">
        <f>[3]Изложницы!A39</f>
        <v>70</v>
      </c>
      <c r="BA41" s="56">
        <f>[3]Изложницы!B39</f>
        <v>70</v>
      </c>
      <c r="BB41" s="56">
        <f>[3]Изложницы!C39</f>
        <v>400</v>
      </c>
      <c r="BC41" s="56">
        <f>[3]Изложницы!D39</f>
        <v>0</v>
      </c>
      <c r="BD41" s="56">
        <f>[3]Изложницы!E39</f>
        <v>0</v>
      </c>
      <c r="BE41" s="56">
        <f>[3]Изложницы!F39</f>
        <v>220</v>
      </c>
      <c r="BF41" s="56">
        <f>[3]Изложницы!G39</f>
        <v>45</v>
      </c>
      <c r="BG41" s="56" t="str">
        <f>[3]Изложницы!H39</f>
        <v>72.11.803</v>
      </c>
      <c r="BH41" s="56" t="str">
        <f>[3]Изложницы!I39</f>
        <v>1шт.</v>
      </c>
    </row>
    <row r="42" spans="1:60" ht="14.4" customHeight="1" thickBot="1" x14ac:dyDescent="0.3">
      <c r="A42" s="793" t="s">
        <v>323</v>
      </c>
      <c r="B42" s="1521" t="b">
        <v>0</v>
      </c>
      <c r="C42" s="794"/>
      <c r="D42" s="794"/>
      <c r="E42" s="795"/>
      <c r="L42" s="134">
        <f>[1]Планки!H42</f>
        <v>13</v>
      </c>
      <c r="M42" s="134">
        <f>[1]Планки!I42</f>
        <v>825</v>
      </c>
      <c r="N42" s="134">
        <f>[1]Планки!J42</f>
        <v>165</v>
      </c>
      <c r="O42" s="224">
        <f>[1]Планки!K42</f>
        <v>660</v>
      </c>
      <c r="P42" s="224">
        <f>[1]Планки!L42</f>
        <v>325</v>
      </c>
      <c r="Q42" s="134">
        <f>[1]Планки!M42</f>
        <v>338</v>
      </c>
      <c r="R42" s="134">
        <f>[1]Планки!N42</f>
        <v>375</v>
      </c>
      <c r="S42" s="224">
        <f>[1]Планки!O42</f>
        <v>80</v>
      </c>
      <c r="T42" s="134">
        <f>[1]Планки!P42</f>
        <v>90</v>
      </c>
      <c r="U42" s="134">
        <f>[1]Планки!Q42</f>
        <v>155</v>
      </c>
      <c r="V42" s="134" t="str">
        <f>[1]Планки!R42</f>
        <v>модель нашита  (L4=37 L5=47 L6=115)</v>
      </c>
      <c r="AB42" s="215"/>
      <c r="AC42" s="215">
        <f>'[2]Изложницы без бурта'!A42</f>
        <v>0</v>
      </c>
      <c r="AD42" s="215">
        <f>'[2]Изложницы без бурта'!B42</f>
        <v>70</v>
      </c>
      <c r="AE42" s="215">
        <f>'[2]Изложницы без бурта'!C42</f>
        <v>245</v>
      </c>
      <c r="AF42" s="56">
        <f>'[2]Изложницы без бурта'!D42</f>
        <v>140</v>
      </c>
      <c r="AG42" s="56">
        <f>'[2]Изложницы без бурта'!E42</f>
        <v>115</v>
      </c>
      <c r="AH42" s="56" t="str">
        <f>'[2]Изложницы без бурта'!F42</f>
        <v>7211867-5</v>
      </c>
      <c r="AI42" s="56">
        <f>'[2]Изложницы без бурта'!G42</f>
        <v>0</v>
      </c>
      <c r="AJ42" s="56">
        <f>'[2]Изложницы без бурта'!H42</f>
        <v>0</v>
      </c>
      <c r="AK42" s="56">
        <f>'[2]Изложницы без бурта'!I42</f>
        <v>0</v>
      </c>
      <c r="AL42" s="56">
        <f>'[2]Изложницы без бурта'!J42</f>
        <v>0</v>
      </c>
      <c r="AM42" s="56">
        <f>'[2]Изложницы без бурта'!K42</f>
        <v>360</v>
      </c>
      <c r="AR42" s="359">
        <v>280</v>
      </c>
      <c r="AS42" s="358">
        <v>190</v>
      </c>
      <c r="AT42" s="359">
        <v>320</v>
      </c>
      <c r="AU42" s="359">
        <v>265</v>
      </c>
      <c r="AV42" s="359">
        <v>375</v>
      </c>
      <c r="AW42" s="359">
        <v>450</v>
      </c>
      <c r="AX42" s="384" t="s">
        <v>472</v>
      </c>
      <c r="AZ42" s="56" t="str">
        <f>[3]Изложницы!A40</f>
        <v>кв.70х70</v>
      </c>
      <c r="BA42" s="56">
        <f>[3]Изложницы!B40</f>
        <v>0</v>
      </c>
      <c r="BB42" s="56">
        <f>[3]Изложницы!C40</f>
        <v>400</v>
      </c>
      <c r="BC42" s="56">
        <f>[3]Изложницы!D40</f>
        <v>0</v>
      </c>
      <c r="BD42" s="56">
        <f>[3]Изложницы!E40</f>
        <v>0</v>
      </c>
      <c r="BE42" s="56">
        <f>[3]Изложницы!F40</f>
        <v>0</v>
      </c>
      <c r="BF42" s="56">
        <f>[3]Изложницы!G40</f>
        <v>0</v>
      </c>
      <c r="BG42" s="56">
        <f>[3]Изложницы!H40</f>
        <v>0</v>
      </c>
      <c r="BH42" s="56">
        <f>[3]Изложницы!I40</f>
        <v>0</v>
      </c>
    </row>
    <row r="43" spans="1:60" ht="14.4" x14ac:dyDescent="0.25">
      <c r="B43" s="56"/>
      <c r="L43" s="134">
        <f>[1]Планки!H43</f>
        <v>94</v>
      </c>
      <c r="M43" s="134">
        <f>[1]Планки!I43</f>
        <v>805</v>
      </c>
      <c r="N43" s="134">
        <f>[1]Планки!J43</f>
        <v>140</v>
      </c>
      <c r="O43" s="224">
        <f>[1]Планки!K43</f>
        <v>665</v>
      </c>
      <c r="P43" s="224">
        <f>[1]Планки!L43</f>
        <v>160</v>
      </c>
      <c r="Q43" s="134">
        <f>[1]Планки!M43</f>
        <v>180</v>
      </c>
      <c r="R43" s="134">
        <f>[1]Планки!N43</f>
        <v>200</v>
      </c>
      <c r="S43" s="224">
        <f>[1]Планки!O43</f>
        <v>28</v>
      </c>
      <c r="T43" s="134">
        <f>[1]Планки!P43</f>
        <v>41</v>
      </c>
      <c r="U43" s="134">
        <f>[1]Планки!Q43</f>
        <v>100</v>
      </c>
      <c r="V43" s="134">
        <f>[1]Планки!R43</f>
        <v>0</v>
      </c>
      <c r="AB43" s="215"/>
      <c r="AC43" s="215">
        <f>'[2]Изложницы без бурта'!A43</f>
        <v>0</v>
      </c>
      <c r="AD43" s="215">
        <f>'[2]Изложницы без бурта'!B43</f>
        <v>70</v>
      </c>
      <c r="AE43" s="215">
        <f>'[2]Изложницы без бурта'!C43</f>
        <v>240</v>
      </c>
      <c r="AF43" s="56">
        <f>'[2]Изложницы без бурта'!D43</f>
        <v>140</v>
      </c>
      <c r="AG43" s="56">
        <f>'[2]Изложницы без бурта'!E43</f>
        <v>115</v>
      </c>
      <c r="AH43" s="56" t="str">
        <f>'[2]Изложницы без бурта'!F43</f>
        <v>7211867-5</v>
      </c>
      <c r="AI43" s="56">
        <f>'[2]Изложницы без бурта'!G43</f>
        <v>0</v>
      </c>
      <c r="AJ43" s="56">
        <f>'[2]Изложницы без бурта'!H43</f>
        <v>0</v>
      </c>
      <c r="AK43" s="56">
        <f>'[2]Изложницы без бурта'!I43</f>
        <v>0</v>
      </c>
      <c r="AL43" s="56">
        <f>'[2]Изложницы без бурта'!J43</f>
        <v>0</v>
      </c>
      <c r="AM43" s="56">
        <f>'[2]Изложницы без бурта'!K43</f>
        <v>375</v>
      </c>
      <c r="AR43" s="359">
        <v>240</v>
      </c>
      <c r="AS43" s="359">
        <v>192.5</v>
      </c>
      <c r="AT43" s="359">
        <v>260</v>
      </c>
      <c r="AU43" s="359">
        <v>205</v>
      </c>
      <c r="AV43" s="359">
        <v>375</v>
      </c>
      <c r="AW43" s="359">
        <v>450</v>
      </c>
      <c r="AX43" s="384" t="s">
        <v>491</v>
      </c>
      <c r="AZ43" s="56">
        <f>[3]Изложницы!A41</f>
        <v>50</v>
      </c>
      <c r="BA43" s="56">
        <f>[3]Изложницы!B41</f>
        <v>50</v>
      </c>
      <c r="BB43" s="56">
        <f>[3]Изложницы!C41</f>
        <v>400</v>
      </c>
      <c r="BC43" s="56">
        <f>[3]Изложницы!D41</f>
        <v>0</v>
      </c>
      <c r="BD43" s="56">
        <f>[3]Изложницы!E41</f>
        <v>0</v>
      </c>
      <c r="BE43" s="56">
        <f>[3]Изложницы!F41</f>
        <v>0</v>
      </c>
      <c r="BF43" s="56">
        <f>[3]Изложницы!G41</f>
        <v>62</v>
      </c>
      <c r="BG43" s="56" t="str">
        <f>[3]Изложницы!H41</f>
        <v>7230.788</v>
      </c>
      <c r="BH43" s="56">
        <f>[3]Изложницы!I41</f>
        <v>0</v>
      </c>
    </row>
    <row r="44" spans="1:60" ht="15" thickBot="1" x14ac:dyDescent="0.3">
      <c r="B44" s="241" t="s">
        <v>148</v>
      </c>
      <c r="C44" s="1792" t="s">
        <v>149</v>
      </c>
      <c r="D44" s="1792"/>
      <c r="E44" s="1792"/>
      <c r="L44" s="134">
        <f>[1]Планки!H44</f>
        <v>65</v>
      </c>
      <c r="M44" s="134">
        <f>[1]Планки!I44</f>
        <v>825</v>
      </c>
      <c r="N44" s="134">
        <f>[1]Планки!J44</f>
        <v>160</v>
      </c>
      <c r="O44" s="224">
        <f>[1]Планки!K44</f>
        <v>665</v>
      </c>
      <c r="P44" s="224">
        <f>[1]Планки!L44</f>
        <v>265</v>
      </c>
      <c r="Q44" s="134">
        <f>[1]Планки!M44</f>
        <v>278</v>
      </c>
      <c r="R44" s="134">
        <f>[1]Планки!N44</f>
        <v>320</v>
      </c>
      <c r="S44" s="224">
        <f>[1]Планки!O44</f>
        <v>52</v>
      </c>
      <c r="T44" s="134">
        <f>[1]Планки!P44</f>
        <v>60</v>
      </c>
      <c r="U44" s="134">
        <f>[1]Планки!Q44</f>
        <v>135</v>
      </c>
      <c r="V44" s="134" t="str">
        <f>[1]Планки!R44</f>
        <v>модель нашита  (L4=40 L5=48 L6=123)</v>
      </c>
      <c r="AB44" s="215"/>
      <c r="AC44" s="215">
        <f>'[2]Изложницы без бурта'!A44</f>
        <v>0</v>
      </c>
      <c r="AD44" s="215">
        <f>'[2]Изложницы без бурта'!B44</f>
        <v>72.5</v>
      </c>
      <c r="AE44" s="215">
        <f>'[2]Изложницы без бурта'!C44</f>
        <v>245</v>
      </c>
      <c r="AF44" s="56">
        <f>'[2]Изложницы без бурта'!D44</f>
        <v>140</v>
      </c>
      <c r="AG44" s="56">
        <f>'[2]Изложницы без бурта'!E44</f>
        <v>115</v>
      </c>
      <c r="AH44" s="56" t="str">
        <f>'[2]Изложницы без бурта'!F44</f>
        <v>7211867-6</v>
      </c>
      <c r="AI44" s="56">
        <f>'[2]Изложницы без бурта'!G44</f>
        <v>0</v>
      </c>
      <c r="AJ44" s="56">
        <f>'[2]Изложницы без бурта'!H44</f>
        <v>0</v>
      </c>
      <c r="AK44" s="56">
        <f>'[2]Изложницы без бурта'!I44</f>
        <v>0</v>
      </c>
      <c r="AL44" s="56">
        <f>'[2]Изложницы без бурта'!J44</f>
        <v>0</v>
      </c>
      <c r="AM44" s="56">
        <f>'[2]Изложницы без бурта'!K44</f>
        <v>400</v>
      </c>
      <c r="AR44" s="360">
        <v>358</v>
      </c>
      <c r="AS44" s="360">
        <v>210</v>
      </c>
      <c r="AT44" s="359">
        <v>320</v>
      </c>
      <c r="AU44" s="359">
        <f>AT44-38</f>
        <v>282</v>
      </c>
      <c r="AV44" s="359">
        <v>375</v>
      </c>
      <c r="AW44" s="359">
        <v>450</v>
      </c>
      <c r="AX44" s="384" t="s">
        <v>492</v>
      </c>
      <c r="AZ44" s="56">
        <f>[3]Изложницы!A42</f>
        <v>35</v>
      </c>
      <c r="BA44" s="56">
        <f>[3]Изложницы!B42</f>
        <v>0</v>
      </c>
      <c r="BB44" s="56">
        <f>[3]Изложницы!C42</f>
        <v>400</v>
      </c>
      <c r="BC44" s="56">
        <f>[3]Изложницы!D42</f>
        <v>0</v>
      </c>
      <c r="BD44" s="56">
        <f>[3]Изложницы!E42</f>
        <v>0</v>
      </c>
      <c r="BE44" s="56">
        <f>[3]Изложницы!F42</f>
        <v>0</v>
      </c>
      <c r="BF44" s="56">
        <f>[3]Изложницы!G42</f>
        <v>62</v>
      </c>
      <c r="BG44" s="56" t="str">
        <f>[3]Изложницы!H42</f>
        <v>7230.755</v>
      </c>
      <c r="BH44" s="56">
        <f>[3]Изложницы!I42</f>
        <v>0</v>
      </c>
    </row>
    <row r="45" spans="1:60" ht="15" thickBot="1" x14ac:dyDescent="0.3">
      <c r="A45" s="242" t="s">
        <v>118</v>
      </c>
      <c r="B45" s="243"/>
      <c r="C45" s="244" t="s">
        <v>150</v>
      </c>
      <c r="D45" s="244" t="s">
        <v>151</v>
      </c>
      <c r="E45" s="244" t="s">
        <v>152</v>
      </c>
      <c r="F45" s="245" t="s">
        <v>153</v>
      </c>
      <c r="G45" s="245" t="s">
        <v>154</v>
      </c>
      <c r="H45" s="245" t="s">
        <v>155</v>
      </c>
      <c r="I45" s="246" t="s">
        <v>218</v>
      </c>
      <c r="L45" s="134">
        <f>[1]Планки!H45</f>
        <v>100</v>
      </c>
      <c r="M45" s="134">
        <f>[1]Планки!I45</f>
        <v>835</v>
      </c>
      <c r="N45" s="134">
        <f>[1]Планки!J45</f>
        <v>170</v>
      </c>
      <c r="O45" s="224">
        <f>[1]Планки!K45</f>
        <v>665</v>
      </c>
      <c r="P45" s="224">
        <f>[1]Планки!L45</f>
        <v>353</v>
      </c>
      <c r="Q45" s="134">
        <f>[1]Планки!M45</f>
        <v>355</v>
      </c>
      <c r="R45" s="134">
        <f>[1]Планки!N45</f>
        <v>395</v>
      </c>
      <c r="S45" s="224">
        <f>[1]Планки!O45</f>
        <v>35</v>
      </c>
      <c r="T45" s="134">
        <f>[1]Планки!P45</f>
        <v>48</v>
      </c>
      <c r="U45" s="134">
        <f>[1]Планки!Q45</f>
        <v>110</v>
      </c>
      <c r="V45" s="134">
        <f>[1]Планки!R45</f>
        <v>0</v>
      </c>
      <c r="AB45" s="215"/>
      <c r="AC45" s="215">
        <f>'[2]Изложницы без бурта'!A45</f>
        <v>0</v>
      </c>
      <c r="AD45" s="215">
        <f>'[2]Изложницы без бурта'!B45</f>
        <v>72.5</v>
      </c>
      <c r="AE45" s="215">
        <f>'[2]Изложницы без бурта'!C45</f>
        <v>245</v>
      </c>
      <c r="AF45" s="56">
        <f>'[2]Изложницы без бурта'!D45</f>
        <v>140</v>
      </c>
      <c r="AG45" s="56">
        <f>'[2]Изложницы без бурта'!E45</f>
        <v>115</v>
      </c>
      <c r="AH45" s="56" t="str">
        <f>'[2]Изложницы без бурта'!F45</f>
        <v>7211867-6</v>
      </c>
      <c r="AI45" s="56">
        <f>'[2]Изложницы без бурта'!G45</f>
        <v>0</v>
      </c>
      <c r="AJ45" s="56">
        <f>'[2]Изложницы без бурта'!H45</f>
        <v>0</v>
      </c>
      <c r="AK45" s="56">
        <f>'[2]Изложницы без бурта'!I45</f>
        <v>0</v>
      </c>
      <c r="AL45" s="56">
        <f>'[2]Изложницы без бурта'!J45</f>
        <v>0</v>
      </c>
      <c r="AM45" s="56">
        <f>'[2]Изложницы без бурта'!K45</f>
        <v>415</v>
      </c>
      <c r="AR45" s="367">
        <v>315</v>
      </c>
      <c r="AS45" s="367">
        <v>220</v>
      </c>
      <c r="AT45" s="368">
        <v>320</v>
      </c>
      <c r="AU45" s="359">
        <v>280</v>
      </c>
      <c r="AV45" s="359">
        <v>375</v>
      </c>
      <c r="AW45" s="359">
        <v>450</v>
      </c>
      <c r="AX45" s="384" t="s">
        <v>527</v>
      </c>
      <c r="AZ45" s="56">
        <f>[3]Изложницы!A43</f>
        <v>45</v>
      </c>
      <c r="BA45" s="56">
        <f>[3]Изложницы!B43</f>
        <v>0</v>
      </c>
      <c r="BB45" s="56">
        <f>[3]Изложницы!C43</f>
        <v>400</v>
      </c>
      <c r="BC45" s="56">
        <f>[3]Изложницы!D43</f>
        <v>0</v>
      </c>
      <c r="BD45" s="56">
        <f>[3]Изложницы!E43</f>
        <v>0</v>
      </c>
      <c r="BE45" s="56">
        <f>[3]Изложницы!F43</f>
        <v>0</v>
      </c>
      <c r="BF45" s="56">
        <f>[3]Изложницы!G43</f>
        <v>62</v>
      </c>
      <c r="BG45" s="56" t="str">
        <f>[3]Изложницы!H43</f>
        <v>7230.755</v>
      </c>
      <c r="BH45" s="56">
        <f>[3]Изложницы!I43</f>
        <v>0</v>
      </c>
    </row>
    <row r="46" spans="1:60" ht="14.4" x14ac:dyDescent="0.25">
      <c r="A46" s="247"/>
      <c r="B46" s="243"/>
      <c r="D46" s="248"/>
      <c r="F46" s="248"/>
      <c r="L46" s="134">
        <f>[1]Планки!H46</f>
        <v>21</v>
      </c>
      <c r="M46" s="134">
        <f>[1]Планки!I46</f>
        <v>840</v>
      </c>
      <c r="N46" s="134">
        <f>[1]Планки!J46</f>
        <v>170</v>
      </c>
      <c r="O46" s="224">
        <f>[1]Планки!K46</f>
        <v>670</v>
      </c>
      <c r="P46" s="224">
        <f>[1]Планки!L46</f>
        <v>355</v>
      </c>
      <c r="Q46" s="134">
        <f>[1]Планки!M46</f>
        <v>365</v>
      </c>
      <c r="R46" s="134">
        <f>[1]Планки!N46</f>
        <v>400</v>
      </c>
      <c r="S46" s="224">
        <f>[1]Планки!O46</f>
        <v>40</v>
      </c>
      <c r="T46" s="134">
        <f>[1]Планки!P46</f>
        <v>48</v>
      </c>
      <c r="U46" s="134">
        <f>[1]Планки!Q46</f>
        <v>110</v>
      </c>
      <c r="V46" s="134">
        <f>[1]Планки!R46</f>
        <v>0</v>
      </c>
      <c r="AB46" s="215"/>
      <c r="AC46" s="215">
        <f>'[2]Изложницы без бурта'!A46</f>
        <v>0</v>
      </c>
      <c r="AD46" s="215">
        <f>'[2]Изложницы без бурта'!B46</f>
        <v>72.5</v>
      </c>
      <c r="AE46" s="215">
        <f>'[2]Изложницы без бурта'!C46</f>
        <v>245</v>
      </c>
      <c r="AF46" s="56">
        <f>'[2]Изложницы без бурта'!D46</f>
        <v>140</v>
      </c>
      <c r="AG46" s="56">
        <f>'[2]Изложницы без бурта'!E46</f>
        <v>115</v>
      </c>
      <c r="AH46" s="56" t="str">
        <f>'[2]Изложницы без бурта'!F46</f>
        <v>7211867-6</v>
      </c>
      <c r="AI46" s="56">
        <f>'[2]Изложницы без бурта'!G46</f>
        <v>0</v>
      </c>
      <c r="AJ46" s="56">
        <f>'[2]Изложницы без бурта'!H46</f>
        <v>0</v>
      </c>
      <c r="AK46" s="56">
        <f>'[2]Изложницы без бурта'!I46</f>
        <v>0</v>
      </c>
      <c r="AL46" s="56">
        <f>'[2]Изложницы без бурта'!J46</f>
        <v>0</v>
      </c>
      <c r="AM46" s="56">
        <f>'[2]Изложницы без бурта'!K46</f>
        <v>450</v>
      </c>
      <c r="AR46" s="358">
        <v>311</v>
      </c>
      <c r="AS46" s="358">
        <v>222.5</v>
      </c>
      <c r="AT46" s="359">
        <v>320</v>
      </c>
      <c r="AU46" s="359">
        <v>280</v>
      </c>
      <c r="AV46" s="359">
        <v>375</v>
      </c>
      <c r="AW46" s="359">
        <v>450</v>
      </c>
      <c r="AX46" s="384" t="s">
        <v>473</v>
      </c>
      <c r="AZ46" s="56">
        <f>[3]Изложницы!A44</f>
        <v>50</v>
      </c>
      <c r="BA46" s="56">
        <f>[3]Изложницы!B44</f>
        <v>0</v>
      </c>
      <c r="BB46" s="56">
        <f>[3]Изложницы!C44</f>
        <v>400</v>
      </c>
      <c r="BC46" s="56">
        <f>[3]Изложницы!D44</f>
        <v>0</v>
      </c>
      <c r="BD46" s="56">
        <f>[3]Изложницы!E44</f>
        <v>0</v>
      </c>
      <c r="BE46" s="56">
        <f>[3]Изложницы!F44</f>
        <v>0</v>
      </c>
      <c r="BF46" s="56">
        <f>[3]Изложницы!G44</f>
        <v>62</v>
      </c>
      <c r="BG46" s="56" t="str">
        <f>[3]Изложницы!H44</f>
        <v>7230.755</v>
      </c>
      <c r="BH46" s="56">
        <f>[3]Изложницы!I44</f>
        <v>0</v>
      </c>
    </row>
    <row r="47" spans="1:60" ht="14.4" x14ac:dyDescent="0.25">
      <c r="A47" s="247" t="s">
        <v>156</v>
      </c>
      <c r="B47" s="243" t="s">
        <v>157</v>
      </c>
      <c r="C47" s="56">
        <v>40</v>
      </c>
      <c r="D47" s="248">
        <v>50</v>
      </c>
      <c r="E47" s="56">
        <v>50</v>
      </c>
      <c r="F47" s="248">
        <v>60</v>
      </c>
      <c r="G47" s="56">
        <v>65</v>
      </c>
      <c r="H47" s="248">
        <v>14</v>
      </c>
      <c r="I47" s="56">
        <v>70</v>
      </c>
      <c r="L47" s="134">
        <f>[1]Планки!H47</f>
        <v>16</v>
      </c>
      <c r="M47" s="134">
        <f>[1]Планки!I47</f>
        <v>835</v>
      </c>
      <c r="N47" s="134">
        <f>[1]Планки!J47</f>
        <v>165</v>
      </c>
      <c r="O47" s="224">
        <f>[1]Планки!K47</f>
        <v>670</v>
      </c>
      <c r="P47" s="224">
        <f>[1]Планки!L47</f>
        <v>520</v>
      </c>
      <c r="Q47" s="134">
        <f>[1]Планки!M47</f>
        <v>533</v>
      </c>
      <c r="R47" s="134">
        <f>[1]Планки!N47</f>
        <v>580</v>
      </c>
      <c r="S47" s="224">
        <f>[1]Планки!O47</f>
        <v>58</v>
      </c>
      <c r="T47" s="134">
        <f>[1]Планки!P47</f>
        <v>66</v>
      </c>
      <c r="U47" s="134">
        <f>[1]Планки!Q47</f>
        <v>135</v>
      </c>
      <c r="V47" s="134" t="str">
        <f>[1]Планки!R47</f>
        <v>модель нашита  (L4=43 L5=51 L6=120)</v>
      </c>
      <c r="AB47" s="215"/>
      <c r="AC47" s="215">
        <f>'[2]Изложницы без бурта'!A47</f>
        <v>0</v>
      </c>
      <c r="AD47" s="215">
        <f>'[2]Изложницы без бурта'!B47</f>
        <v>72.5</v>
      </c>
      <c r="AE47" s="215">
        <f>'[2]Изложницы без бурта'!C47</f>
        <v>240</v>
      </c>
      <c r="AF47" s="56">
        <f>'[2]Изложницы без бурта'!D47</f>
        <v>140</v>
      </c>
      <c r="AG47" s="56">
        <f>'[2]Изложницы без бурта'!E47</f>
        <v>115</v>
      </c>
      <c r="AH47" s="56" t="str">
        <f>'[2]Изложницы без бурта'!F47</f>
        <v>7211867-6</v>
      </c>
      <c r="AI47" s="56">
        <f>'[2]Изложницы без бурта'!G47</f>
        <v>0</v>
      </c>
      <c r="AJ47" s="56">
        <f>'[2]Изложницы без бурта'!H47</f>
        <v>0</v>
      </c>
      <c r="AK47" s="56">
        <f>'[2]Изложницы без бурта'!I47</f>
        <v>0</v>
      </c>
      <c r="AL47" s="56">
        <f>'[2]Изложницы без бурта'!J47</f>
        <v>0</v>
      </c>
      <c r="AM47" s="56">
        <f>'[2]Изложницы без бурта'!K47</f>
        <v>470</v>
      </c>
      <c r="AR47" s="359">
        <v>317</v>
      </c>
      <c r="AS47" s="359">
        <v>227.5</v>
      </c>
      <c r="AT47" s="359">
        <v>378</v>
      </c>
      <c r="AU47" s="359">
        <v>313</v>
      </c>
      <c r="AV47" s="359">
        <v>375</v>
      </c>
      <c r="AW47" s="359">
        <v>450</v>
      </c>
      <c r="AX47" s="384" t="s">
        <v>493</v>
      </c>
    </row>
    <row r="48" spans="1:60" ht="14.4" x14ac:dyDescent="0.25">
      <c r="A48" s="247" t="s">
        <v>158</v>
      </c>
      <c r="B48" s="243" t="s">
        <v>159</v>
      </c>
      <c r="C48" s="56">
        <v>40</v>
      </c>
      <c r="D48" s="248">
        <v>50</v>
      </c>
      <c r="E48" s="56">
        <v>50</v>
      </c>
      <c r="F48" s="248">
        <v>65</v>
      </c>
      <c r="G48" s="56">
        <v>70</v>
      </c>
      <c r="H48" s="248">
        <v>14</v>
      </c>
      <c r="I48" s="56">
        <v>70</v>
      </c>
      <c r="L48" s="134">
        <f>[1]Планки!H48</f>
        <v>18</v>
      </c>
      <c r="M48" s="134">
        <f>[1]Планки!I48</f>
        <v>835</v>
      </c>
      <c r="N48" s="134">
        <f>[1]Планки!J48</f>
        <v>165</v>
      </c>
      <c r="O48" s="224">
        <f>[1]Планки!K48</f>
        <v>670</v>
      </c>
      <c r="P48" s="224">
        <f>[1]Планки!L48</f>
        <v>550</v>
      </c>
      <c r="Q48" s="134">
        <f>[1]Планки!M48</f>
        <v>560</v>
      </c>
      <c r="R48" s="134">
        <f>[1]Планки!N48</f>
        <v>605</v>
      </c>
      <c r="S48" s="224">
        <f>[1]Планки!O48</f>
        <v>37</v>
      </c>
      <c r="T48" s="134">
        <f>[1]Планки!P48</f>
        <v>50</v>
      </c>
      <c r="U48" s="134">
        <f>[1]Планки!Q48</f>
        <v>105</v>
      </c>
      <c r="V48" s="134">
        <f>[1]Планки!R48</f>
        <v>0</v>
      </c>
      <c r="AB48" s="215"/>
      <c r="AC48" s="215">
        <f>'[2]Изложницы без бурта'!A48</f>
        <v>0</v>
      </c>
      <c r="AD48" s="215">
        <f>'[2]Изложницы без бурта'!B48</f>
        <v>72.5</v>
      </c>
      <c r="AE48" s="215">
        <f>'[2]Изложницы без бурта'!C48</f>
        <v>245</v>
      </c>
      <c r="AF48" s="56">
        <f>'[2]Изложницы без бурта'!D48</f>
        <v>140</v>
      </c>
      <c r="AG48" s="56">
        <f>'[2]Изложницы без бурта'!E48</f>
        <v>115</v>
      </c>
      <c r="AH48" s="56" t="str">
        <f>'[2]Изложницы без бурта'!F48</f>
        <v>7211867-6</v>
      </c>
      <c r="AI48" s="56">
        <f>'[2]Изложницы без бурта'!G48</f>
        <v>0</v>
      </c>
      <c r="AJ48" s="56">
        <f>'[2]Изложницы без бурта'!H48</f>
        <v>0</v>
      </c>
      <c r="AK48" s="56">
        <f>'[2]Изложницы без бурта'!I48</f>
        <v>0</v>
      </c>
      <c r="AL48" s="56">
        <f>'[2]Изложницы без бурта'!J48</f>
        <v>0</v>
      </c>
      <c r="AM48" s="56">
        <f>'[2]Изложницы без бурта'!K48</f>
        <v>500</v>
      </c>
      <c r="AR48" s="359">
        <v>319</v>
      </c>
      <c r="AS48" s="359">
        <v>230</v>
      </c>
      <c r="AT48" s="359">
        <v>380</v>
      </c>
      <c r="AU48" s="359">
        <v>315</v>
      </c>
      <c r="AV48" s="359">
        <v>375</v>
      </c>
      <c r="AW48" s="359">
        <v>450</v>
      </c>
      <c r="AX48" s="384" t="s">
        <v>494</v>
      </c>
    </row>
    <row r="49" spans="1:50" ht="14.4" x14ac:dyDescent="0.25">
      <c r="A49" s="247" t="s">
        <v>160</v>
      </c>
      <c r="B49" s="243" t="s">
        <v>161</v>
      </c>
      <c r="C49" s="56">
        <v>40</v>
      </c>
      <c r="D49" s="248">
        <v>55</v>
      </c>
      <c r="E49" s="56">
        <v>60</v>
      </c>
      <c r="F49" s="248">
        <v>70</v>
      </c>
      <c r="G49" s="56">
        <v>75</v>
      </c>
      <c r="H49" s="248">
        <v>14</v>
      </c>
      <c r="I49" s="56">
        <v>70</v>
      </c>
      <c r="L49" s="134">
        <f>[1]Планки!H49</f>
        <v>6</v>
      </c>
      <c r="M49" s="134">
        <f>[1]Планки!I49</f>
        <v>780</v>
      </c>
      <c r="N49" s="134">
        <f>[1]Планки!J49</f>
        <v>105</v>
      </c>
      <c r="O49" s="224">
        <f>[1]Планки!K49</f>
        <v>675</v>
      </c>
      <c r="P49" s="224">
        <f>[1]Планки!L49</f>
        <v>127</v>
      </c>
      <c r="Q49" s="134">
        <f>[1]Планки!M49</f>
        <v>137</v>
      </c>
      <c r="R49" s="134">
        <f>[1]Планки!N49</f>
        <v>160</v>
      </c>
      <c r="S49" s="224">
        <f>[1]Планки!O49</f>
        <v>30</v>
      </c>
      <c r="T49" s="134">
        <f>[1]Планки!P49</f>
        <v>35</v>
      </c>
      <c r="U49" s="134">
        <f>[1]Планки!Q49</f>
        <v>77</v>
      </c>
      <c r="V49" s="134">
        <f>[1]Планки!R49</f>
        <v>0</v>
      </c>
      <c r="AB49" s="215"/>
      <c r="AC49" s="215">
        <f>'[2]Изложницы без бурта'!A49</f>
        <v>0</v>
      </c>
      <c r="AD49" s="215">
        <f>'[2]Изложницы без бурта'!B49</f>
        <v>72.5</v>
      </c>
      <c r="AE49" s="215">
        <f>'[2]Изложницы без бурта'!C49</f>
        <v>244</v>
      </c>
      <c r="AF49" s="56">
        <f>'[2]Изложницы без бурта'!D49</f>
        <v>140</v>
      </c>
      <c r="AG49" s="56">
        <f>'[2]Изложницы без бурта'!E49</f>
        <v>115</v>
      </c>
      <c r="AH49" s="56" t="str">
        <f>'[2]Изложницы без бурта'!F49</f>
        <v>7211867-6</v>
      </c>
      <c r="AI49" s="56">
        <f>'[2]Изложницы без бурта'!G49</f>
        <v>0</v>
      </c>
      <c r="AJ49" s="56">
        <f>'[2]Изложницы без бурта'!H49</f>
        <v>0</v>
      </c>
      <c r="AK49" s="56">
        <f>'[2]Изложницы без бурта'!I49</f>
        <v>0</v>
      </c>
      <c r="AL49" s="56">
        <f>'[2]Изложницы без бурта'!J49</f>
        <v>0</v>
      </c>
      <c r="AM49" s="56">
        <f>'[2]Изложницы без бурта'!K49</f>
        <v>520</v>
      </c>
      <c r="AR49" s="359">
        <v>270</v>
      </c>
      <c r="AS49" s="359">
        <v>230</v>
      </c>
      <c r="AT49" s="359">
        <v>258</v>
      </c>
      <c r="AU49" s="359">
        <v>208</v>
      </c>
      <c r="AV49" s="359">
        <v>375</v>
      </c>
      <c r="AW49" s="359">
        <v>450</v>
      </c>
      <c r="AX49" s="384" t="s">
        <v>495</v>
      </c>
    </row>
    <row r="50" spans="1:50" ht="14.4" x14ac:dyDescent="0.25">
      <c r="A50" s="247" t="s">
        <v>162</v>
      </c>
      <c r="B50" s="243" t="s">
        <v>163</v>
      </c>
      <c r="C50" s="56">
        <v>40</v>
      </c>
      <c r="D50" s="249">
        <v>55</v>
      </c>
      <c r="E50" s="56">
        <v>60</v>
      </c>
      <c r="F50" s="248">
        <v>75</v>
      </c>
      <c r="G50" s="56">
        <v>80</v>
      </c>
      <c r="H50" s="248">
        <v>20</v>
      </c>
      <c r="I50" s="56">
        <v>80</v>
      </c>
      <c r="L50" s="134">
        <f>[1]Планки!H50</f>
        <v>36</v>
      </c>
      <c r="M50" s="134">
        <f>[1]Планки!I50</f>
        <v>845</v>
      </c>
      <c r="N50" s="134">
        <f>[1]Планки!J50</f>
        <v>170</v>
      </c>
      <c r="O50" s="224">
        <f>[1]Планки!K50</f>
        <v>675</v>
      </c>
      <c r="P50" s="224">
        <f>[1]Планки!L50</f>
        <v>360</v>
      </c>
      <c r="Q50" s="134">
        <f>[1]Планки!M50</f>
        <v>370</v>
      </c>
      <c r="R50" s="134">
        <f>[1]Планки!N50</f>
        <v>405</v>
      </c>
      <c r="S50" s="224">
        <f>[1]Планки!O50</f>
        <v>40</v>
      </c>
      <c r="T50" s="134">
        <f>[1]Планки!P50</f>
        <v>51</v>
      </c>
      <c r="U50" s="134">
        <f>[1]Планки!Q50</f>
        <v>110</v>
      </c>
      <c r="V50" s="134">
        <f>[1]Планки!R50</f>
        <v>0</v>
      </c>
      <c r="AB50" s="215"/>
      <c r="AC50" s="215">
        <f>'[2]Изложницы без бурта'!A50</f>
        <v>0</v>
      </c>
      <c r="AD50" s="215">
        <f>'[2]Изложницы без бурта'!B50</f>
        <v>75</v>
      </c>
      <c r="AE50" s="215">
        <f>'[2]Изложницы без бурта'!C50</f>
        <v>245</v>
      </c>
      <c r="AF50" s="56">
        <f>'[2]Изложницы без бурта'!D50</f>
        <v>140</v>
      </c>
      <c r="AG50" s="56">
        <f>'[2]Изложницы без бурта'!E50</f>
        <v>115</v>
      </c>
      <c r="AH50" s="56" t="str">
        <f>'[2]Изложницы без бурта'!F50</f>
        <v>7211867-7</v>
      </c>
      <c r="AI50" s="56">
        <f>'[2]Изложницы без бурта'!G50</f>
        <v>0</v>
      </c>
      <c r="AJ50" s="56">
        <f>'[2]Изложницы без бурта'!H50</f>
        <v>0</v>
      </c>
      <c r="AK50" s="56">
        <f>'[2]Изложницы без бурта'!I50</f>
        <v>0</v>
      </c>
      <c r="AL50" s="56">
        <f>'[2]Изложницы без бурта'!J50</f>
        <v>0</v>
      </c>
      <c r="AM50" s="56">
        <f>'[2]Изложницы без бурта'!K50</f>
        <v>550</v>
      </c>
      <c r="AR50" s="359">
        <v>321</v>
      </c>
      <c r="AS50" s="359">
        <v>230</v>
      </c>
      <c r="AT50" s="359">
        <v>318</v>
      </c>
      <c r="AU50" s="359">
        <v>255</v>
      </c>
      <c r="AV50" s="359">
        <v>375</v>
      </c>
      <c r="AW50" s="359">
        <v>450</v>
      </c>
      <c r="AX50" s="384" t="s">
        <v>496</v>
      </c>
    </row>
    <row r="51" spans="1:50" ht="14.4" x14ac:dyDescent="0.25">
      <c r="A51" s="247" t="s">
        <v>164</v>
      </c>
      <c r="B51" s="243" t="s">
        <v>165</v>
      </c>
      <c r="C51" s="56">
        <v>45</v>
      </c>
      <c r="D51" s="248">
        <v>60</v>
      </c>
      <c r="E51" s="249">
        <v>65</v>
      </c>
      <c r="F51" s="248">
        <v>85</v>
      </c>
      <c r="G51" s="56">
        <v>95</v>
      </c>
      <c r="H51" s="248">
        <v>20</v>
      </c>
      <c r="I51" s="56">
        <v>80</v>
      </c>
      <c r="L51" s="134">
        <f>[1]Планки!H51</f>
        <v>20</v>
      </c>
      <c r="M51" s="134">
        <f>[1]Планки!I51</f>
        <v>840</v>
      </c>
      <c r="N51" s="134">
        <f>[1]Планки!J51</f>
        <v>165</v>
      </c>
      <c r="O51" s="224">
        <f>[1]Планки!K51</f>
        <v>675</v>
      </c>
      <c r="P51" s="224">
        <f>[1]Планки!L51</f>
        <v>525</v>
      </c>
      <c r="Q51" s="134">
        <f>[1]Планки!M51</f>
        <v>532</v>
      </c>
      <c r="R51" s="134">
        <f>[1]Планки!N51</f>
        <v>570</v>
      </c>
      <c r="S51" s="224">
        <f>[1]Планки!O51</f>
        <v>55</v>
      </c>
      <c r="T51" s="134">
        <f>[1]Планки!P51</f>
        <v>65</v>
      </c>
      <c r="U51" s="134">
        <f>[1]Планки!Q51</f>
        <v>130</v>
      </c>
      <c r="V51" s="134" t="str">
        <f>[1]Планки!R51</f>
        <v>модель нашита  (L4=43 L5=53 L6=118)</v>
      </c>
      <c r="AB51" s="215"/>
      <c r="AC51" s="215">
        <f>'[2]Изложницы без бурта'!A51</f>
        <v>0</v>
      </c>
      <c r="AD51" s="215">
        <f>'[2]Изложницы без бурта'!B51</f>
        <v>75</v>
      </c>
      <c r="AE51" s="215">
        <f>'[2]Изложницы без бурта'!C51</f>
        <v>243</v>
      </c>
      <c r="AF51" s="56">
        <f>'[2]Изложницы без бурта'!D51</f>
        <v>140</v>
      </c>
      <c r="AG51" s="56">
        <f>'[2]Изложницы без бурта'!E51</f>
        <v>115</v>
      </c>
      <c r="AH51" s="56" t="str">
        <f>'[2]Изложницы без бурта'!F51</f>
        <v>7211867-7</v>
      </c>
      <c r="AI51" s="56">
        <f>'[2]Изложницы без бурта'!G51</f>
        <v>0</v>
      </c>
      <c r="AJ51" s="56">
        <f>'[2]Изложницы без бурта'!H51</f>
        <v>0</v>
      </c>
      <c r="AK51" s="56">
        <f>'[2]Изложницы без бурта'!I51</f>
        <v>0</v>
      </c>
      <c r="AL51" s="56">
        <f>'[2]Изложницы без бурта'!J51</f>
        <v>0</v>
      </c>
      <c r="AM51" s="56">
        <f>'[2]Изложницы без бурта'!K51</f>
        <v>570</v>
      </c>
      <c r="AR51" s="359">
        <v>317</v>
      </c>
      <c r="AS51" s="359">
        <v>230</v>
      </c>
      <c r="AT51" s="359">
        <v>320</v>
      </c>
      <c r="AU51" s="359">
        <v>260</v>
      </c>
      <c r="AV51" s="359">
        <v>360</v>
      </c>
      <c r="AW51" s="359">
        <v>450</v>
      </c>
      <c r="AX51" s="384" t="s">
        <v>496</v>
      </c>
    </row>
    <row r="52" spans="1:50" ht="14.4" x14ac:dyDescent="0.25">
      <c r="A52" s="247" t="s">
        <v>166</v>
      </c>
      <c r="B52" s="243" t="s">
        <v>167</v>
      </c>
      <c r="C52" s="56">
        <v>45</v>
      </c>
      <c r="D52" s="248">
        <v>60</v>
      </c>
      <c r="E52" s="56">
        <v>65</v>
      </c>
      <c r="F52" s="248">
        <v>90</v>
      </c>
      <c r="G52" s="56">
        <v>100</v>
      </c>
      <c r="H52" s="248">
        <v>20</v>
      </c>
      <c r="I52" s="56">
        <v>80</v>
      </c>
      <c r="L52" s="134">
        <f>[1]Планки!H52</f>
        <v>19</v>
      </c>
      <c r="M52" s="134">
        <f>[1]Планки!I52</f>
        <v>850</v>
      </c>
      <c r="N52" s="134">
        <f>[1]Планки!J52</f>
        <v>170</v>
      </c>
      <c r="O52" s="224">
        <f>[1]Планки!K52</f>
        <v>680</v>
      </c>
      <c r="P52" s="224">
        <f>[1]Планки!L52</f>
        <v>545</v>
      </c>
      <c r="Q52" s="134">
        <f>[1]Планки!M52</f>
        <v>560</v>
      </c>
      <c r="R52" s="134">
        <f>[1]Планки!N52</f>
        <v>600</v>
      </c>
      <c r="S52" s="224">
        <f>[1]Планки!O52</f>
        <v>37</v>
      </c>
      <c r="T52" s="134">
        <f>[1]Планки!P52</f>
        <v>45</v>
      </c>
      <c r="U52" s="134">
        <f>[1]Планки!Q52</f>
        <v>110</v>
      </c>
      <c r="V52" s="134">
        <f>[1]Планки!R52</f>
        <v>0</v>
      </c>
      <c r="AB52" s="215"/>
      <c r="AC52" s="215">
        <f>'[2]Изложницы без бурта'!A52</f>
        <v>0</v>
      </c>
      <c r="AD52" s="215">
        <f>'[2]Изложницы без бурта'!B52</f>
        <v>75</v>
      </c>
      <c r="AE52" s="215">
        <f>'[2]Изложницы без бурта'!C52</f>
        <v>240</v>
      </c>
      <c r="AF52" s="56">
        <f>'[2]Изложницы без бурта'!D52</f>
        <v>140</v>
      </c>
      <c r="AG52" s="56">
        <f>'[2]Изложницы без бурта'!E52</f>
        <v>115</v>
      </c>
      <c r="AH52" s="56" t="str">
        <f>'[2]Изложницы без бурта'!F52</f>
        <v>7211867-7</v>
      </c>
      <c r="AI52" s="56">
        <f>'[2]Изложницы без бурта'!G52</f>
        <v>0</v>
      </c>
      <c r="AJ52" s="56">
        <f>'[2]Изложницы без бурта'!H52</f>
        <v>0</v>
      </c>
      <c r="AK52" s="56">
        <f>'[2]Изложницы без бурта'!I52</f>
        <v>0</v>
      </c>
      <c r="AL52" s="56">
        <f>'[2]Изложницы без бурта'!J52</f>
        <v>0</v>
      </c>
      <c r="AM52" s="56">
        <f>'[2]Изложницы без бурта'!K52</f>
        <v>610</v>
      </c>
      <c r="AR52" s="359">
        <v>318</v>
      </c>
      <c r="AS52" s="359">
        <v>232.5</v>
      </c>
      <c r="AT52" s="359">
        <v>380</v>
      </c>
      <c r="AU52" s="359">
        <v>320</v>
      </c>
      <c r="AV52" s="359">
        <v>375</v>
      </c>
      <c r="AW52" s="359">
        <v>450</v>
      </c>
      <c r="AX52" s="384" t="s">
        <v>497</v>
      </c>
    </row>
    <row r="53" spans="1:50" ht="14.4" x14ac:dyDescent="0.25">
      <c r="A53" s="247" t="s">
        <v>168</v>
      </c>
      <c r="B53" s="243" t="s">
        <v>169</v>
      </c>
      <c r="C53" s="56">
        <v>50</v>
      </c>
      <c r="D53" s="248">
        <v>60</v>
      </c>
      <c r="E53" s="56">
        <v>65</v>
      </c>
      <c r="F53" s="248">
        <v>100</v>
      </c>
      <c r="G53" s="56">
        <v>110</v>
      </c>
      <c r="H53" s="248">
        <v>20</v>
      </c>
      <c r="I53" s="56">
        <v>80</v>
      </c>
      <c r="L53" s="134">
        <f>[1]Планки!H53</f>
        <v>87</v>
      </c>
      <c r="M53" s="134">
        <f>[1]Планки!I53</f>
        <v>835</v>
      </c>
      <c r="N53" s="134">
        <f>[1]Планки!J53</f>
        <v>150</v>
      </c>
      <c r="O53" s="224">
        <f>[1]Планки!K53</f>
        <v>685</v>
      </c>
      <c r="P53" s="224">
        <f>[1]Планки!L53</f>
        <v>250</v>
      </c>
      <c r="Q53" s="134">
        <f>[1]Планки!M53</f>
        <v>265</v>
      </c>
      <c r="R53" s="134">
        <f>[1]Планки!N53</f>
        <v>295</v>
      </c>
      <c r="S53" s="224">
        <f>[1]Планки!O53</f>
        <v>35</v>
      </c>
      <c r="T53" s="134">
        <f>[1]Планки!P53</f>
        <v>44</v>
      </c>
      <c r="U53" s="134">
        <f>[1]Планки!Q53</f>
        <v>105</v>
      </c>
      <c r="V53" s="134">
        <f>[1]Планки!R53</f>
        <v>0</v>
      </c>
      <c r="AB53" s="215"/>
      <c r="AC53" s="215">
        <f>'[2]Изложницы без бурта'!A53</f>
        <v>0</v>
      </c>
      <c r="AD53" s="215">
        <f>'[2]Изложницы без бурта'!B53</f>
        <v>75</v>
      </c>
      <c r="AE53" s="215">
        <f>'[2]Изложницы без бурта'!C53</f>
        <v>245</v>
      </c>
      <c r="AF53" s="56">
        <f>'[2]Изложницы без бурта'!D53</f>
        <v>140</v>
      </c>
      <c r="AG53" s="56">
        <f>'[2]Изложницы без бурта'!E53</f>
        <v>115</v>
      </c>
      <c r="AH53" s="56" t="str">
        <f>'[2]Изложницы без бурта'!F53</f>
        <v>7211867-7</v>
      </c>
      <c r="AI53" s="56">
        <f>'[2]Изложницы без бурта'!G53</f>
        <v>0</v>
      </c>
      <c r="AJ53" s="56">
        <f>'[2]Изложницы без бурта'!H53</f>
        <v>0</v>
      </c>
      <c r="AK53" s="56">
        <f>'[2]Изложницы без бурта'!I53</f>
        <v>0</v>
      </c>
      <c r="AL53" s="56">
        <f>'[2]Изложницы без бурта'!J53</f>
        <v>0</v>
      </c>
      <c r="AM53" s="56">
        <f>'[2]Изложницы без бурта'!K53</f>
        <v>640</v>
      </c>
      <c r="AR53" s="359">
        <v>270</v>
      </c>
      <c r="AS53" s="359">
        <v>232.5</v>
      </c>
      <c r="AT53" s="359">
        <v>260</v>
      </c>
      <c r="AU53" s="359">
        <v>210</v>
      </c>
      <c r="AV53" s="359">
        <v>375</v>
      </c>
      <c r="AW53" s="359">
        <v>450</v>
      </c>
      <c r="AX53" s="384" t="s">
        <v>495</v>
      </c>
    </row>
    <row r="54" spans="1:50" ht="15" thickBot="1" x14ac:dyDescent="0.3">
      <c r="A54" s="247" t="s">
        <v>170</v>
      </c>
      <c r="B54" s="243" t="s">
        <v>171</v>
      </c>
      <c r="C54" s="56">
        <v>50</v>
      </c>
      <c r="D54" s="248">
        <v>65</v>
      </c>
      <c r="E54" s="56">
        <v>65</v>
      </c>
      <c r="F54" s="248">
        <v>110</v>
      </c>
      <c r="G54" s="56">
        <v>120</v>
      </c>
      <c r="H54" s="248">
        <v>20</v>
      </c>
      <c r="I54" s="56">
        <v>80</v>
      </c>
      <c r="L54" s="134">
        <f>[1]Планки!H54</f>
        <v>28</v>
      </c>
      <c r="M54" s="134">
        <f>[1]Планки!I54</f>
        <v>845</v>
      </c>
      <c r="N54" s="134">
        <f>[1]Планки!J54</f>
        <v>150</v>
      </c>
      <c r="O54" s="224">
        <f>[1]Планки!K54</f>
        <v>695</v>
      </c>
      <c r="P54" s="224">
        <f>[1]Планки!L54</f>
        <v>405</v>
      </c>
      <c r="Q54" s="134">
        <f>[1]Планки!M54</f>
        <v>420</v>
      </c>
      <c r="R54" s="134">
        <f>[1]Планки!N54</f>
        <v>450</v>
      </c>
      <c r="S54" s="224">
        <f>[1]Планки!O54</f>
        <v>46</v>
      </c>
      <c r="T54" s="134">
        <f>[1]Планки!P54</f>
        <v>55</v>
      </c>
      <c r="U54" s="134">
        <f>[1]Планки!Q54</f>
        <v>105</v>
      </c>
      <c r="V54" s="134" t="str">
        <f>[1]Планки!R54</f>
        <v>модель нашита  (L4=34 L5=43 L6=93)</v>
      </c>
      <c r="AB54" s="215"/>
      <c r="AC54" s="215">
        <f>'[2]Изложницы без бурта'!A54</f>
        <v>0</v>
      </c>
      <c r="AD54" s="215">
        <f>'[2]Изложницы без бурта'!B54</f>
        <v>77.5</v>
      </c>
      <c r="AE54" s="215">
        <f>'[2]Изложницы без бурта'!C54</f>
        <v>240</v>
      </c>
      <c r="AF54" s="56">
        <f>'[2]Изложницы без бурта'!D54</f>
        <v>140</v>
      </c>
      <c r="AG54" s="56">
        <f>'[2]Изложницы без бурта'!E54</f>
        <v>115</v>
      </c>
      <c r="AH54" s="56" t="str">
        <f>'[2]Изложницы без бурта'!F54</f>
        <v>7211867-8</v>
      </c>
      <c r="AI54" s="56">
        <f>'[2]Изложницы без бурта'!G54</f>
        <v>0</v>
      </c>
      <c r="AJ54" s="56">
        <f>'[2]Изложницы без бурта'!H54</f>
        <v>0</v>
      </c>
      <c r="AK54" s="56">
        <f>'[2]Изложницы без бурта'!I54</f>
        <v>0</v>
      </c>
      <c r="AL54" s="56">
        <f>'[2]Изложницы без бурта'!J54</f>
        <v>0</v>
      </c>
      <c r="AM54" s="56">
        <f>'[2]Изложницы без бурта'!K54</f>
        <v>670</v>
      </c>
      <c r="AR54" s="360">
        <v>312</v>
      </c>
      <c r="AS54" s="359">
        <v>237.5</v>
      </c>
      <c r="AT54" s="359">
        <v>320</v>
      </c>
      <c r="AU54" s="359">
        <v>275</v>
      </c>
      <c r="AV54" s="359">
        <v>375</v>
      </c>
      <c r="AW54" s="359">
        <v>450</v>
      </c>
      <c r="AX54" s="384" t="s">
        <v>498</v>
      </c>
    </row>
    <row r="55" spans="1:50" ht="15" thickBot="1" x14ac:dyDescent="0.3">
      <c r="A55" s="247" t="s">
        <v>172</v>
      </c>
      <c r="B55" s="243" t="s">
        <v>173</v>
      </c>
      <c r="C55" s="56">
        <v>50</v>
      </c>
      <c r="D55" s="248">
        <v>65</v>
      </c>
      <c r="E55" s="56">
        <v>65</v>
      </c>
      <c r="F55" s="248">
        <v>120</v>
      </c>
      <c r="G55" s="56">
        <v>130</v>
      </c>
      <c r="H55" s="248">
        <v>20</v>
      </c>
      <c r="I55" s="56">
        <v>80</v>
      </c>
      <c r="L55" s="134">
        <f>[1]Планки!H55</f>
        <v>51</v>
      </c>
      <c r="M55" s="134">
        <f>[1]Планки!I55</f>
        <v>805</v>
      </c>
      <c r="N55" s="134">
        <f>[1]Планки!J55</f>
        <v>105</v>
      </c>
      <c r="O55" s="224">
        <f>[1]Планки!K55</f>
        <v>700</v>
      </c>
      <c r="P55" s="224">
        <f>[1]Планки!L55</f>
        <v>165</v>
      </c>
      <c r="Q55" s="134">
        <f>[1]Планки!M55</f>
        <v>180</v>
      </c>
      <c r="R55" s="134">
        <f>[1]Планки!N55</f>
        <v>200</v>
      </c>
      <c r="S55" s="224">
        <f>[1]Планки!O55</f>
        <v>29</v>
      </c>
      <c r="T55" s="134">
        <f>[1]Планки!P55</f>
        <v>35</v>
      </c>
      <c r="U55" s="134">
        <f>[1]Планки!Q55</f>
        <v>80</v>
      </c>
      <c r="V55" s="134">
        <f>[1]Планки!R55</f>
        <v>0</v>
      </c>
      <c r="AB55" s="215"/>
      <c r="AC55" s="215">
        <f>'[2]Изложницы без бурта'!A55</f>
        <v>0</v>
      </c>
      <c r="AD55" s="215">
        <f>'[2]Изложницы без бурта'!B55</f>
        <v>77.5</v>
      </c>
      <c r="AE55" s="215">
        <f>'[2]Изложницы без бурта'!C55</f>
        <v>240</v>
      </c>
      <c r="AF55" s="56">
        <f>'[2]Изложницы без бурта'!D55</f>
        <v>140</v>
      </c>
      <c r="AG55" s="56">
        <f>'[2]Изложницы без бурта'!E55</f>
        <v>115</v>
      </c>
      <c r="AH55" s="56" t="str">
        <f>'[2]Изложницы без бурта'!F55</f>
        <v>7211867-8</v>
      </c>
      <c r="AI55" s="56">
        <f>'[2]Изложницы без бурта'!G55</f>
        <v>0</v>
      </c>
      <c r="AJ55" s="56">
        <f>'[2]Изложницы без бурта'!H55</f>
        <v>0</v>
      </c>
      <c r="AK55" s="56">
        <f>'[2]Изложницы без бурта'!I55</f>
        <v>0</v>
      </c>
      <c r="AL55" s="56">
        <f>'[2]Изложницы без бурта'!J55</f>
        <v>0</v>
      </c>
      <c r="AM55" s="56">
        <f>'[2]Изложницы без бурта'!K55</f>
        <v>700</v>
      </c>
      <c r="AR55" s="367">
        <v>370</v>
      </c>
      <c r="AS55" s="368">
        <v>237.5</v>
      </c>
      <c r="AT55" s="359">
        <v>200</v>
      </c>
      <c r="AU55" s="359">
        <v>135</v>
      </c>
      <c r="AV55" s="359">
        <v>415</v>
      </c>
      <c r="AW55" s="359">
        <v>450</v>
      </c>
      <c r="AX55" s="384" t="s">
        <v>528</v>
      </c>
    </row>
    <row r="56" spans="1:50" ht="14.4" x14ac:dyDescent="0.25">
      <c r="L56" s="134">
        <f>[1]Планки!H56</f>
        <v>43</v>
      </c>
      <c r="M56" s="134">
        <f>[1]Планки!I56</f>
        <v>850</v>
      </c>
      <c r="N56" s="134">
        <f>[1]Планки!J56</f>
        <v>150</v>
      </c>
      <c r="O56" s="224">
        <f>[1]Планки!K56</f>
        <v>700</v>
      </c>
      <c r="P56" s="224">
        <f>[1]Планки!L56</f>
        <v>363</v>
      </c>
      <c r="Q56" s="134">
        <f>[1]Планки!M56</f>
        <v>385</v>
      </c>
      <c r="R56" s="134">
        <f>[1]Планки!N56</f>
        <v>410</v>
      </c>
      <c r="S56" s="224">
        <f>[1]Планки!O56</f>
        <v>32</v>
      </c>
      <c r="T56" s="134">
        <f>[1]Планки!P56</f>
        <v>45</v>
      </c>
      <c r="U56" s="134">
        <f>[1]Планки!Q56</f>
        <v>100</v>
      </c>
      <c r="V56" s="134">
        <f>[1]Планки!R56</f>
        <v>0</v>
      </c>
      <c r="AB56" s="215"/>
      <c r="AC56" s="215">
        <f>'[2]Изложницы без бурта'!A56</f>
        <v>0</v>
      </c>
      <c r="AD56" s="215">
        <f>'[2]Изложницы без бурта'!B56</f>
        <v>80</v>
      </c>
      <c r="AE56" s="215">
        <f>'[2]Изложницы без бурта'!C56</f>
        <v>245</v>
      </c>
      <c r="AF56" s="56">
        <f>'[2]Изложницы без бурта'!D56</f>
        <v>140</v>
      </c>
      <c r="AG56" s="56">
        <f>'[2]Изложницы без бурта'!E56</f>
        <v>115</v>
      </c>
      <c r="AH56" s="56" t="str">
        <f>'[2]Изложницы без бурта'!F56</f>
        <v>7211867-9</v>
      </c>
      <c r="AI56" s="56">
        <f>'[2]Изложницы без бурта'!G56</f>
        <v>0</v>
      </c>
      <c r="AJ56" s="56">
        <f>'[2]Изложницы без бурта'!H56</f>
        <v>0</v>
      </c>
      <c r="AK56" s="56">
        <f>'[2]Изложницы без бурта'!I56</f>
        <v>0</v>
      </c>
      <c r="AL56" s="56">
        <f>'[2]Изложницы без бурта'!J56</f>
        <v>0</v>
      </c>
      <c r="AM56" s="56">
        <f>'[2]Изложницы без бурта'!K56</f>
        <v>0</v>
      </c>
      <c r="AR56" s="358">
        <v>290</v>
      </c>
      <c r="AS56" s="359">
        <v>240</v>
      </c>
      <c r="AT56" s="359">
        <v>260</v>
      </c>
      <c r="AU56" s="359">
        <v>205</v>
      </c>
      <c r="AV56" s="359">
        <v>375</v>
      </c>
      <c r="AW56" s="359">
        <v>450</v>
      </c>
      <c r="AX56" s="384" t="s">
        <v>529</v>
      </c>
    </row>
    <row r="57" spans="1:50" ht="14.4" x14ac:dyDescent="0.25">
      <c r="A57" s="250" t="s">
        <v>122</v>
      </c>
      <c r="B57" s="251" t="s">
        <v>174</v>
      </c>
      <c r="C57" s="1793" t="s">
        <v>175</v>
      </c>
      <c r="D57" s="1793"/>
      <c r="E57" s="1793"/>
      <c r="F57" s="245"/>
      <c r="G57" s="245" t="s">
        <v>149</v>
      </c>
      <c r="H57" s="244"/>
      <c r="I57" s="244"/>
      <c r="L57" s="134">
        <f>[1]Планки!H57</f>
        <v>31</v>
      </c>
      <c r="M57" s="134">
        <f>[1]Планки!I57</f>
        <v>880</v>
      </c>
      <c r="N57" s="134">
        <f>[1]Планки!J57</f>
        <v>165</v>
      </c>
      <c r="O57" s="224">
        <f>[1]Планки!K57</f>
        <v>715</v>
      </c>
      <c r="P57" s="224">
        <f>[1]Планки!L57</f>
        <v>295</v>
      </c>
      <c r="Q57" s="134">
        <f>[1]Планки!M57</f>
        <v>315</v>
      </c>
      <c r="R57" s="134">
        <f>[1]Планки!N57</f>
        <v>355</v>
      </c>
      <c r="S57" s="224">
        <f>[1]Планки!O57</f>
        <v>55</v>
      </c>
      <c r="T57" s="134">
        <f>[1]Планки!P57</f>
        <v>70</v>
      </c>
      <c r="U57" s="134">
        <f>[1]Планки!Q57</f>
        <v>135</v>
      </c>
      <c r="V57" s="134" t="str">
        <f>[1]Планки!R57</f>
        <v>модель нашита  (L4=38 L5=53 L6=118)</v>
      </c>
      <c r="AB57" s="215"/>
      <c r="AC57" s="215">
        <f>'[2]Изложницы без бурта'!A57</f>
        <v>0</v>
      </c>
      <c r="AD57" s="215">
        <f>'[2]Изложницы без бурта'!B57</f>
        <v>80</v>
      </c>
      <c r="AE57" s="215">
        <f>'[2]Изложницы без бурта'!C57</f>
        <v>240</v>
      </c>
      <c r="AF57" s="56">
        <f>'[2]Изложницы без бурта'!D57</f>
        <v>140</v>
      </c>
      <c r="AG57" s="56">
        <f>'[2]Изложницы без бурта'!E57</f>
        <v>115</v>
      </c>
      <c r="AH57" s="56" t="str">
        <f>'[2]Изложницы без бурта'!F57</f>
        <v>7211867-9</v>
      </c>
      <c r="AI57" s="56">
        <f>'[2]Изложницы без бурта'!G57</f>
        <v>0</v>
      </c>
      <c r="AJ57" s="56">
        <f>'[2]Изложницы без бурта'!H57</f>
        <v>0</v>
      </c>
      <c r="AK57" s="56">
        <f>'[2]Изложницы без бурта'!I57</f>
        <v>0</v>
      </c>
      <c r="AL57" s="56">
        <f>'[2]Изложницы без бурта'!J57</f>
        <v>0</v>
      </c>
      <c r="AM57" s="56">
        <f>'[2]Изложницы без бурта'!K57</f>
        <v>0</v>
      </c>
      <c r="AR57" s="359">
        <v>290</v>
      </c>
      <c r="AS57" s="359">
        <v>240</v>
      </c>
      <c r="AT57" s="359">
        <v>260</v>
      </c>
      <c r="AU57" s="359">
        <v>205</v>
      </c>
      <c r="AV57" s="359">
        <v>375</v>
      </c>
      <c r="AW57" s="359">
        <v>450</v>
      </c>
      <c r="AX57" s="384" t="s">
        <v>529</v>
      </c>
    </row>
    <row r="58" spans="1:50" ht="14.4" x14ac:dyDescent="0.25">
      <c r="A58" s="247"/>
      <c r="B58" s="251" t="s">
        <v>176</v>
      </c>
      <c r="C58" s="244" t="s">
        <v>150</v>
      </c>
      <c r="D58" s="244" t="s">
        <v>151</v>
      </c>
      <c r="E58" s="244" t="s">
        <v>152</v>
      </c>
      <c r="F58" s="245" t="s">
        <v>177</v>
      </c>
      <c r="G58" s="245" t="s">
        <v>178</v>
      </c>
      <c r="H58" s="246" t="s">
        <v>179</v>
      </c>
      <c r="I58" s="246" t="s">
        <v>180</v>
      </c>
      <c r="L58" s="134">
        <f>[1]Планки!H58</f>
        <v>91</v>
      </c>
      <c r="M58" s="134">
        <f>[1]Планки!I58</f>
        <v>895</v>
      </c>
      <c r="N58" s="134">
        <f>[1]Планки!J58</f>
        <v>175</v>
      </c>
      <c r="O58" s="224">
        <f>[1]Планки!K58</f>
        <v>720</v>
      </c>
      <c r="P58" s="224">
        <f>[1]Планки!L58</f>
        <v>180</v>
      </c>
      <c r="Q58" s="134">
        <f>[1]Планки!M58</f>
        <v>234</v>
      </c>
      <c r="R58" s="134">
        <f>[1]Планки!N58</f>
        <v>270</v>
      </c>
      <c r="S58" s="224">
        <f>[1]Планки!O58</f>
        <v>45</v>
      </c>
      <c r="T58" s="134">
        <f>[1]Планки!P58</f>
        <v>60</v>
      </c>
      <c r="U58" s="134">
        <f>[1]Планки!Q58</f>
        <v>125</v>
      </c>
      <c r="V58" s="134" t="str">
        <f>[1]Планки!R58</f>
        <v>модель нашита  (L4=40 L5=55 L6=120)</v>
      </c>
      <c r="AB58" s="215"/>
      <c r="AC58" s="215">
        <f>'[2]Изложницы без бурта'!A58</f>
        <v>0</v>
      </c>
      <c r="AD58" s="215">
        <f>'[2]Изложницы без бурта'!B58</f>
        <v>80</v>
      </c>
      <c r="AE58" s="215">
        <f>'[2]Изложницы без бурта'!C58</f>
        <v>240</v>
      </c>
      <c r="AF58" s="56">
        <f>'[2]Изложницы без бурта'!D58</f>
        <v>140</v>
      </c>
      <c r="AG58" s="56">
        <f>'[2]Изложницы без бурта'!E58</f>
        <v>115</v>
      </c>
      <c r="AH58" s="56" t="str">
        <f>'[2]Изложницы без бурта'!F58</f>
        <v>7211867-9</v>
      </c>
      <c r="AI58" s="56">
        <f>'[2]Изложницы без бурта'!G58</f>
        <v>0</v>
      </c>
      <c r="AJ58" s="56">
        <f>'[2]Изложницы без бурта'!H58</f>
        <v>0</v>
      </c>
      <c r="AK58" s="56">
        <f>'[2]Изложницы без бурта'!I58</f>
        <v>0</v>
      </c>
      <c r="AL58" s="56">
        <f>'[2]Изложницы без бурта'!J58</f>
        <v>0</v>
      </c>
      <c r="AM58" s="56">
        <f>'[2]Изложницы без бурта'!K58</f>
        <v>0</v>
      </c>
      <c r="AR58" s="359">
        <v>281</v>
      </c>
      <c r="AS58" s="359">
        <v>242.5</v>
      </c>
      <c r="AT58" s="359">
        <v>260</v>
      </c>
      <c r="AU58" s="359">
        <v>200</v>
      </c>
      <c r="AV58" s="359">
        <v>375</v>
      </c>
      <c r="AW58" s="359">
        <v>450</v>
      </c>
      <c r="AX58" s="384" t="s">
        <v>499</v>
      </c>
    </row>
    <row r="59" spans="1:50" ht="14.4" x14ac:dyDescent="0.25">
      <c r="A59" s="250"/>
      <c r="L59" s="134">
        <f>[1]Планки!H59</f>
        <v>107</v>
      </c>
      <c r="M59" s="134">
        <f>[1]Планки!I59</f>
        <v>880</v>
      </c>
      <c r="N59" s="134">
        <f>[1]Планки!J59</f>
        <v>150</v>
      </c>
      <c r="O59" s="224">
        <f>[1]Планки!K59</f>
        <v>730</v>
      </c>
      <c r="P59" s="224">
        <f>[1]Планки!L59</f>
        <v>210</v>
      </c>
      <c r="Q59" s="134">
        <f>[1]Планки!M59</f>
        <v>225</v>
      </c>
      <c r="R59" s="134">
        <f>[1]Планки!N59</f>
        <v>260</v>
      </c>
      <c r="S59" s="224">
        <f>[1]Планки!O59</f>
        <v>31</v>
      </c>
      <c r="T59" s="134">
        <f>[1]Планки!P59</f>
        <v>44</v>
      </c>
      <c r="U59" s="134">
        <f>[1]Планки!Q59</f>
        <v>110</v>
      </c>
      <c r="V59" s="134">
        <f>[1]Планки!R59</f>
        <v>0</v>
      </c>
      <c r="AB59" s="215"/>
      <c r="AC59" s="215">
        <f>'[2]Изложницы без бурта'!A59</f>
        <v>0</v>
      </c>
      <c r="AD59" s="215">
        <f>'[2]Изложницы без бурта'!B59</f>
        <v>80</v>
      </c>
      <c r="AE59" s="215">
        <f>'[2]Изложницы без бурта'!C59</f>
        <v>245</v>
      </c>
      <c r="AF59" s="56">
        <f>'[2]Изложницы без бурта'!D59</f>
        <v>140</v>
      </c>
      <c r="AG59" s="56">
        <f>'[2]Изложницы без бурта'!E59</f>
        <v>115</v>
      </c>
      <c r="AH59" s="56" t="str">
        <f>'[2]Изложницы без бурта'!F59</f>
        <v>7211867-9</v>
      </c>
      <c r="AI59" s="56">
        <f>'[2]Изложницы без бурта'!G59</f>
        <v>0</v>
      </c>
      <c r="AJ59" s="56">
        <f>'[2]Изложницы без бурта'!H59</f>
        <v>0</v>
      </c>
      <c r="AK59" s="56">
        <f>'[2]Изложницы без бурта'!I59</f>
        <v>0</v>
      </c>
      <c r="AL59" s="56">
        <f>'[2]Изложницы без бурта'!J59</f>
        <v>0</v>
      </c>
      <c r="AM59" s="56">
        <f>'[2]Изложницы без бурта'!K59</f>
        <v>0</v>
      </c>
      <c r="AR59" s="359">
        <v>279</v>
      </c>
      <c r="AS59" s="359">
        <v>245</v>
      </c>
      <c r="AT59" s="359">
        <v>260</v>
      </c>
      <c r="AU59" s="359">
        <v>210</v>
      </c>
      <c r="AV59" s="359">
        <v>375</v>
      </c>
      <c r="AW59" s="359">
        <v>450</v>
      </c>
      <c r="AX59" s="384" t="s">
        <v>499</v>
      </c>
    </row>
    <row r="60" spans="1:50" ht="14.4" x14ac:dyDescent="0.25">
      <c r="A60" s="250" t="s">
        <v>181</v>
      </c>
      <c r="B60" s="241">
        <v>4</v>
      </c>
      <c r="C60" s="56">
        <v>21</v>
      </c>
      <c r="D60" s="56">
        <v>18</v>
      </c>
      <c r="E60" s="56">
        <v>23</v>
      </c>
      <c r="F60" s="56">
        <v>60</v>
      </c>
      <c r="G60" s="56">
        <v>33</v>
      </c>
      <c r="H60" s="56">
        <v>27</v>
      </c>
      <c r="I60" s="56">
        <v>36</v>
      </c>
      <c r="L60" s="134">
        <f>[1]Планки!H60</f>
        <v>54</v>
      </c>
      <c r="M60" s="134">
        <f>[1]Планки!I60</f>
        <v>900</v>
      </c>
      <c r="N60" s="134">
        <f>[1]Планки!J60</f>
        <v>165</v>
      </c>
      <c r="O60" s="224">
        <f>[1]Планки!K60</f>
        <v>735</v>
      </c>
      <c r="P60" s="224">
        <f>[1]Планки!L60</f>
        <v>235</v>
      </c>
      <c r="Q60" s="134">
        <f>[1]Планки!M60</f>
        <v>250</v>
      </c>
      <c r="R60" s="134">
        <f>[1]Планки!N60</f>
        <v>305</v>
      </c>
      <c r="S60" s="224">
        <f>[1]Планки!O60</f>
        <v>130</v>
      </c>
      <c r="T60" s="134">
        <f>[1]Планки!P60</f>
        <v>140</v>
      </c>
      <c r="U60" s="134">
        <f>[1]Планки!Q60</f>
        <v>215</v>
      </c>
      <c r="V60" s="134" t="str">
        <f>[1]Планки!R60</f>
        <v>модель нашита  (L4=40 L5=52 L6=120)</v>
      </c>
      <c r="AB60" s="215"/>
      <c r="AC60" s="215">
        <f>'[2]Изложницы без бурта'!A60</f>
        <v>0</v>
      </c>
      <c r="AD60" s="215">
        <f>'[2]Изложницы без бурта'!B60</f>
        <v>80</v>
      </c>
      <c r="AE60" s="215">
        <f>'[2]Изложницы без бурта'!C60</f>
        <v>245</v>
      </c>
      <c r="AF60" s="56">
        <f>'[2]Изложницы без бурта'!D60</f>
        <v>140</v>
      </c>
      <c r="AG60" s="56">
        <f>'[2]Изложницы без бурта'!E60</f>
        <v>115</v>
      </c>
      <c r="AH60" s="56" t="str">
        <f>'[2]Изложницы без бурта'!F60</f>
        <v>7211867-9</v>
      </c>
      <c r="AI60" s="56">
        <f>'[2]Изложницы без бурта'!G60</f>
        <v>0</v>
      </c>
      <c r="AJ60" s="56">
        <f>'[2]Изложницы без бурта'!H60</f>
        <v>0</v>
      </c>
      <c r="AK60" s="56">
        <f>'[2]Изложницы без бурта'!I60</f>
        <v>0</v>
      </c>
      <c r="AL60" s="56">
        <f>'[2]Изложницы без бурта'!J60</f>
        <v>0</v>
      </c>
      <c r="AM60" s="56">
        <f>'[2]Изложницы без бурта'!K60</f>
        <v>0</v>
      </c>
      <c r="AR60" s="359">
        <v>279</v>
      </c>
      <c r="AS60" s="359">
        <v>245</v>
      </c>
      <c r="AT60" s="359">
        <v>260</v>
      </c>
      <c r="AU60" s="359">
        <v>210</v>
      </c>
      <c r="AV60" s="359">
        <v>375</v>
      </c>
      <c r="AW60" s="359">
        <v>450</v>
      </c>
      <c r="AX60" s="384" t="s">
        <v>499</v>
      </c>
    </row>
    <row r="61" spans="1:50" ht="14.4" x14ac:dyDescent="0.25">
      <c r="A61" s="250" t="s">
        <v>182</v>
      </c>
      <c r="B61" s="241">
        <v>4</v>
      </c>
      <c r="C61" s="56">
        <v>24</v>
      </c>
      <c r="D61" s="56">
        <v>18</v>
      </c>
      <c r="E61" s="56">
        <v>24</v>
      </c>
      <c r="F61" s="56">
        <v>65</v>
      </c>
      <c r="G61" s="56">
        <v>34</v>
      </c>
      <c r="H61" s="56">
        <v>28</v>
      </c>
      <c r="I61" s="56">
        <v>39</v>
      </c>
      <c r="L61" s="134">
        <f>[1]Планки!H61</f>
        <v>47</v>
      </c>
      <c r="M61" s="134">
        <f>[1]Планки!I61</f>
        <v>940</v>
      </c>
      <c r="N61" s="134">
        <f>[1]Планки!J61</f>
        <v>200</v>
      </c>
      <c r="O61" s="224">
        <f>[1]Планки!K61</f>
        <v>740</v>
      </c>
      <c r="P61" s="224">
        <f>[1]Планки!L61</f>
        <v>200</v>
      </c>
      <c r="Q61" s="134">
        <f>[1]Планки!M61</f>
        <v>215</v>
      </c>
      <c r="R61" s="134">
        <f>[1]Планки!N61</f>
        <v>267</v>
      </c>
      <c r="S61" s="224">
        <f>[1]Планки!O61</f>
        <v>46</v>
      </c>
      <c r="T61" s="134">
        <f>[1]Планки!P61</f>
        <v>55</v>
      </c>
      <c r="U61" s="134">
        <f>[1]Планки!Q61</f>
        <v>140</v>
      </c>
      <c r="V61" s="134">
        <f>[1]Планки!R61</f>
        <v>0</v>
      </c>
      <c r="AB61" s="215"/>
      <c r="AC61" s="215">
        <f>'[2]Изложницы без бурта'!A61</f>
        <v>0</v>
      </c>
      <c r="AD61" s="215">
        <f>'[2]Изложницы без бурта'!B61</f>
        <v>80</v>
      </c>
      <c r="AE61" s="215">
        <f>'[2]Изложницы без бурта'!C61</f>
        <v>245</v>
      </c>
      <c r="AF61" s="56">
        <f>'[2]Изложницы без бурта'!D61</f>
        <v>140</v>
      </c>
      <c r="AG61" s="56">
        <f>'[2]Изложницы без бурта'!E61</f>
        <v>115</v>
      </c>
      <c r="AH61" s="56" t="str">
        <f>'[2]Изложницы без бурта'!F61</f>
        <v>7211867-9</v>
      </c>
      <c r="AI61" s="56">
        <f>'[2]Изложницы без бурта'!G61</f>
        <v>0</v>
      </c>
      <c r="AJ61" s="56">
        <f>'[2]Изложницы без бурта'!H61</f>
        <v>0</v>
      </c>
      <c r="AK61" s="56">
        <f>'[2]Изложницы без бурта'!I61</f>
        <v>0</v>
      </c>
      <c r="AL61" s="56">
        <f>'[2]Изложницы без бурта'!J61</f>
        <v>0</v>
      </c>
      <c r="AM61" s="56">
        <f>'[2]Изложницы без бурта'!K61</f>
        <v>0</v>
      </c>
      <c r="AR61" s="359">
        <v>280</v>
      </c>
      <c r="AS61" s="359">
        <v>245</v>
      </c>
      <c r="AT61" s="359">
        <v>260</v>
      </c>
      <c r="AU61" s="359">
        <v>205</v>
      </c>
      <c r="AV61" s="359">
        <v>375</v>
      </c>
      <c r="AW61" s="359">
        <v>450</v>
      </c>
      <c r="AX61" s="384" t="s">
        <v>499</v>
      </c>
    </row>
    <row r="62" spans="1:50" ht="14.4" x14ac:dyDescent="0.25">
      <c r="A62" s="250" t="s">
        <v>183</v>
      </c>
      <c r="B62" s="241">
        <v>6</v>
      </c>
      <c r="C62" s="56">
        <v>21</v>
      </c>
      <c r="D62" s="56">
        <v>17</v>
      </c>
      <c r="E62" s="56">
        <v>21</v>
      </c>
      <c r="F62" s="56">
        <v>70</v>
      </c>
      <c r="G62" s="56">
        <v>36</v>
      </c>
      <c r="H62" s="56">
        <v>30</v>
      </c>
      <c r="I62" s="56">
        <v>44</v>
      </c>
      <c r="L62" s="134">
        <f>[1]Планки!H62</f>
        <v>62</v>
      </c>
      <c r="M62" s="134">
        <f>[1]Планки!I62</f>
        <v>910</v>
      </c>
      <c r="N62" s="134">
        <f>[1]Планки!J62</f>
        <v>170</v>
      </c>
      <c r="O62" s="224">
        <f>[1]Планки!K62</f>
        <v>740</v>
      </c>
      <c r="P62" s="224">
        <f>[1]Планки!L62</f>
        <v>237</v>
      </c>
      <c r="Q62" s="134">
        <f>[1]Планки!M62</f>
        <v>245</v>
      </c>
      <c r="R62" s="134">
        <f>[1]Планки!N62</f>
        <v>295</v>
      </c>
      <c r="S62" s="224">
        <f>[1]Планки!O62</f>
        <v>47</v>
      </c>
      <c r="T62" s="134">
        <f>[1]Планки!P62</f>
        <v>52</v>
      </c>
      <c r="U62" s="134">
        <f>[1]Планки!Q62</f>
        <v>120</v>
      </c>
      <c r="V62" s="134" t="str">
        <f>[1]Планки!R62</f>
        <v>модель нашита  (L4=37 L5=42 L6=110)</v>
      </c>
      <c r="AB62" s="215"/>
      <c r="AC62" s="215">
        <f>'[2]Изложницы без бурта'!A62</f>
        <v>0</v>
      </c>
      <c r="AD62" s="215">
        <f>'[2]Изложницы без бурта'!B62</f>
        <v>80</v>
      </c>
      <c r="AE62" s="215">
        <f>'[2]Изложницы без бурта'!C62</f>
        <v>245</v>
      </c>
      <c r="AF62" s="56">
        <f>'[2]Изложницы без бурта'!D62</f>
        <v>140</v>
      </c>
      <c r="AG62" s="56">
        <f>'[2]Изложницы без бурта'!E62</f>
        <v>115</v>
      </c>
      <c r="AH62" s="56" t="str">
        <f>'[2]Изложницы без бурта'!F62</f>
        <v>7211867-9</v>
      </c>
      <c r="AI62" s="56">
        <f>'[2]Изложницы без бурта'!G62</f>
        <v>0</v>
      </c>
      <c r="AJ62" s="56">
        <f>'[2]Изложницы без бурта'!H62</f>
        <v>0</v>
      </c>
      <c r="AK62" s="56">
        <f>'[2]Изложницы без бурта'!I62</f>
        <v>0</v>
      </c>
      <c r="AL62" s="56">
        <f>'[2]Изложницы без бурта'!J62</f>
        <v>0</v>
      </c>
      <c r="AM62" s="56">
        <f>'[2]Изложницы без бурта'!K62</f>
        <v>0</v>
      </c>
      <c r="AR62" s="359">
        <v>345</v>
      </c>
      <c r="AS62" s="360">
        <v>245</v>
      </c>
      <c r="AT62" s="359">
        <v>260</v>
      </c>
      <c r="AU62" s="359">
        <v>190</v>
      </c>
      <c r="AV62" s="359">
        <v>375</v>
      </c>
      <c r="AW62" s="359">
        <v>450</v>
      </c>
      <c r="AX62" s="384" t="s">
        <v>499</v>
      </c>
    </row>
    <row r="63" spans="1:50" ht="14.4" x14ac:dyDescent="0.25">
      <c r="A63" s="250" t="s">
        <v>184</v>
      </c>
      <c r="B63" s="241">
        <v>6</v>
      </c>
      <c r="C63" s="56">
        <v>24</v>
      </c>
      <c r="D63" s="56">
        <v>18</v>
      </c>
      <c r="E63" s="56">
        <v>24</v>
      </c>
      <c r="F63" s="56">
        <v>75</v>
      </c>
      <c r="G63" s="56">
        <v>40</v>
      </c>
      <c r="H63" s="56">
        <v>32</v>
      </c>
      <c r="I63" s="56">
        <v>50</v>
      </c>
      <c r="L63" s="134">
        <f>[1]Планки!H63</f>
        <v>120</v>
      </c>
      <c r="M63" s="134">
        <f>[1]Планки!I63</f>
        <v>940</v>
      </c>
      <c r="N63" s="134">
        <f>[1]Планки!J63</f>
        <v>200</v>
      </c>
      <c r="O63" s="224">
        <f>[1]Планки!K63</f>
        <v>740</v>
      </c>
      <c r="P63" s="224">
        <f>[1]Планки!L63</f>
        <v>340</v>
      </c>
      <c r="Q63" s="134">
        <f>[1]Планки!M63</f>
        <v>355</v>
      </c>
      <c r="R63" s="134">
        <f>[1]Планки!N63</f>
        <v>395</v>
      </c>
      <c r="S63" s="224">
        <f>[1]Планки!O63</f>
        <v>50</v>
      </c>
      <c r="T63" s="134">
        <f>[1]Планки!P63</f>
        <v>60</v>
      </c>
      <c r="U63" s="134">
        <f>[1]Планки!Q63</f>
        <v>135</v>
      </c>
      <c r="V63" s="134">
        <f>[1]Планки!R63</f>
        <v>0</v>
      </c>
      <c r="AB63" s="215"/>
      <c r="AC63" s="215">
        <f>'[2]Изложницы без бурта'!A63</f>
        <v>0</v>
      </c>
      <c r="AD63" s="215">
        <f>'[2]Изложницы без бурта'!B63</f>
        <v>80</v>
      </c>
      <c r="AE63" s="215">
        <f>'[2]Изложницы без бурта'!C63</f>
        <v>245</v>
      </c>
      <c r="AF63" s="56">
        <f>'[2]Изложницы без бурта'!D63</f>
        <v>140</v>
      </c>
      <c r="AG63" s="56">
        <f>'[2]Изложницы без бурта'!E63</f>
        <v>115</v>
      </c>
      <c r="AH63" s="56" t="str">
        <f>'[2]Изложницы без бурта'!F63</f>
        <v>7211867-9</v>
      </c>
      <c r="AI63" s="56">
        <f>'[2]Изложницы без бурта'!G63</f>
        <v>0</v>
      </c>
      <c r="AJ63" s="56">
        <f>'[2]Изложницы без бурта'!H63</f>
        <v>0</v>
      </c>
      <c r="AK63" s="56">
        <f>'[2]Изложницы без бурта'!I63</f>
        <v>0</v>
      </c>
      <c r="AL63" s="56">
        <f>'[2]Изложницы без бурта'!J63</f>
        <v>0</v>
      </c>
      <c r="AM63" s="56">
        <f>'[2]Изложницы без бурта'!K63</f>
        <v>0</v>
      </c>
      <c r="AR63" s="366">
        <v>281</v>
      </c>
      <c r="AS63" s="377">
        <v>250</v>
      </c>
      <c r="AT63" s="368">
        <v>260</v>
      </c>
      <c r="AU63" s="359">
        <v>210</v>
      </c>
      <c r="AV63" s="359">
        <v>375</v>
      </c>
      <c r="AW63" s="359">
        <v>450</v>
      </c>
      <c r="AX63" s="384" t="s">
        <v>500</v>
      </c>
    </row>
    <row r="64" spans="1:50" ht="14.4" x14ac:dyDescent="0.25">
      <c r="A64" s="250" t="s">
        <v>185</v>
      </c>
      <c r="B64" s="241">
        <v>6</v>
      </c>
      <c r="C64" s="56">
        <v>25</v>
      </c>
      <c r="D64" s="56">
        <v>20</v>
      </c>
      <c r="E64" s="56">
        <v>25</v>
      </c>
      <c r="F64" s="56">
        <v>80</v>
      </c>
      <c r="G64" s="56">
        <v>42</v>
      </c>
      <c r="H64" s="56">
        <v>35</v>
      </c>
      <c r="I64" s="56">
        <v>55</v>
      </c>
      <c r="L64" s="134">
        <f>[1]Планки!H64</f>
        <v>15</v>
      </c>
      <c r="M64" s="134">
        <f>[1]Планки!I64</f>
        <v>925</v>
      </c>
      <c r="N64" s="134">
        <f>[1]Планки!J64</f>
        <v>180</v>
      </c>
      <c r="O64" s="224">
        <f>[1]Планки!K64</f>
        <v>745</v>
      </c>
      <c r="P64" s="224">
        <f>[1]Планки!L64</f>
        <v>360</v>
      </c>
      <c r="Q64" s="134">
        <f>[1]Планки!M64</f>
        <v>380</v>
      </c>
      <c r="R64" s="134">
        <f>[1]Планки!N64</f>
        <v>405</v>
      </c>
      <c r="S64" s="224">
        <f>[1]Планки!O64</f>
        <v>85</v>
      </c>
      <c r="T64" s="134">
        <f>[1]Планки!P64</f>
        <v>98</v>
      </c>
      <c r="U64" s="134">
        <f>[1]Планки!Q64</f>
        <v>160</v>
      </c>
      <c r="V64" s="134" t="str">
        <f>[1]Планки!R64</f>
        <v>модель нашита  (L4=37 L5=47 L6=115)</v>
      </c>
      <c r="AB64" s="215"/>
      <c r="AC64" s="215">
        <f>'[2]Изложницы без бурта'!A64</f>
        <v>0</v>
      </c>
      <c r="AD64" s="215">
        <f>'[2]Изложницы без бурта'!B64</f>
        <v>80</v>
      </c>
      <c r="AE64" s="215">
        <f>'[2]Изложницы без бурта'!C64</f>
        <v>245</v>
      </c>
      <c r="AF64" s="56">
        <f>'[2]Изложницы без бурта'!D64</f>
        <v>140</v>
      </c>
      <c r="AG64" s="56">
        <f>'[2]Изложницы без бурта'!E64</f>
        <v>115</v>
      </c>
      <c r="AH64" s="56" t="str">
        <f>'[2]Изложницы без бурта'!F64</f>
        <v>7211867-9</v>
      </c>
      <c r="AI64" s="56">
        <f>'[2]Изложницы без бурта'!G64</f>
        <v>0</v>
      </c>
      <c r="AJ64" s="56">
        <f>'[2]Изложницы без бурта'!H64</f>
        <v>0</v>
      </c>
      <c r="AK64" s="56">
        <f>'[2]Изложницы без бурта'!I64</f>
        <v>0</v>
      </c>
      <c r="AL64" s="56">
        <f>'[2]Изложницы без бурта'!J64</f>
        <v>0</v>
      </c>
      <c r="AM64" s="56">
        <f>'[2]Изложницы без бурта'!K64</f>
        <v>0</v>
      </c>
      <c r="AR64" s="359">
        <v>280</v>
      </c>
      <c r="AS64" s="358">
        <v>250</v>
      </c>
      <c r="AT64" s="359">
        <v>320</v>
      </c>
      <c r="AU64" s="359">
        <v>265</v>
      </c>
      <c r="AV64" s="359">
        <v>375</v>
      </c>
      <c r="AW64" s="359">
        <v>450</v>
      </c>
      <c r="AX64" s="384" t="s">
        <v>530</v>
      </c>
    </row>
    <row r="65" spans="1:50" ht="14.4" x14ac:dyDescent="0.25">
      <c r="A65" s="250" t="s">
        <v>211</v>
      </c>
      <c r="B65" s="241">
        <v>6</v>
      </c>
      <c r="C65" s="56">
        <v>28</v>
      </c>
      <c r="D65" s="56">
        <v>23</v>
      </c>
      <c r="E65" s="56">
        <v>30</v>
      </c>
      <c r="F65" s="56">
        <v>85</v>
      </c>
      <c r="G65" s="56">
        <v>45</v>
      </c>
      <c r="H65" s="56">
        <v>40</v>
      </c>
      <c r="I65" s="56">
        <v>62</v>
      </c>
      <c r="L65" s="134">
        <f>[1]Планки!H65</f>
        <v>17</v>
      </c>
      <c r="M65" s="134">
        <f>[1]Планки!I65</f>
        <v>925</v>
      </c>
      <c r="N65" s="134">
        <f>[1]Планки!J65</f>
        <v>180</v>
      </c>
      <c r="O65" s="224">
        <f>[1]Планки!K65</f>
        <v>745</v>
      </c>
      <c r="P65" s="224">
        <f>[1]Планки!L65</f>
        <v>540</v>
      </c>
      <c r="Q65" s="134">
        <f>[1]Планки!M65</f>
        <v>555</v>
      </c>
      <c r="R65" s="134">
        <f>[1]Планки!N65</f>
        <v>595</v>
      </c>
      <c r="S65" s="224">
        <f>[1]Планки!O65</f>
        <v>37</v>
      </c>
      <c r="T65" s="134">
        <f>[1]Планки!P65</f>
        <v>48</v>
      </c>
      <c r="U65" s="134">
        <f>[1]Планки!Q65</f>
        <v>110</v>
      </c>
      <c r="V65" s="134">
        <f>[1]Планки!R65</f>
        <v>0</v>
      </c>
      <c r="AB65" s="215"/>
      <c r="AC65" s="215">
        <f>'[2]Изложницы без бурта'!A65</f>
        <v>0</v>
      </c>
      <c r="AD65" s="215">
        <f>'[2]Изложницы без бурта'!B65</f>
        <v>80</v>
      </c>
      <c r="AE65" s="215">
        <f>'[2]Изложницы без бурта'!C65</f>
        <v>245</v>
      </c>
      <c r="AF65" s="56">
        <f>'[2]Изложницы без бурта'!D65</f>
        <v>140</v>
      </c>
      <c r="AG65" s="56">
        <f>'[2]Изложницы без бурта'!E65</f>
        <v>115</v>
      </c>
      <c r="AH65" s="56" t="str">
        <f>'[2]Изложницы без бурта'!F65</f>
        <v>7211867-9</v>
      </c>
      <c r="AI65" s="56">
        <f>'[2]Изложницы без бурта'!G65</f>
        <v>0</v>
      </c>
      <c r="AJ65" s="56">
        <f>'[2]Изложницы без бурта'!H65</f>
        <v>0</v>
      </c>
      <c r="AK65" s="56">
        <f>'[2]Изложницы без бурта'!I65</f>
        <v>0</v>
      </c>
      <c r="AL65" s="56">
        <f>'[2]Изложницы без бурта'!J65</f>
        <v>0</v>
      </c>
      <c r="AM65" s="56">
        <f>'[2]Изложницы без бурта'!K65</f>
        <v>0</v>
      </c>
      <c r="AR65" s="359">
        <v>282</v>
      </c>
      <c r="AS65" s="359">
        <v>252.5</v>
      </c>
      <c r="AT65" s="359">
        <v>320</v>
      </c>
      <c r="AU65" s="359">
        <v>260</v>
      </c>
      <c r="AV65" s="359">
        <v>375</v>
      </c>
      <c r="AW65" s="359">
        <v>450</v>
      </c>
      <c r="AX65" s="384" t="s">
        <v>501</v>
      </c>
    </row>
    <row r="66" spans="1:50" ht="14.4" x14ac:dyDescent="0.25">
      <c r="A66" s="250" t="s">
        <v>212</v>
      </c>
      <c r="B66" s="241">
        <v>6</v>
      </c>
      <c r="C66" s="56">
        <v>31</v>
      </c>
      <c r="D66" s="56">
        <v>25</v>
      </c>
      <c r="E66" s="56">
        <v>34</v>
      </c>
      <c r="F66" s="56">
        <v>90</v>
      </c>
      <c r="G66" s="56">
        <v>53</v>
      </c>
      <c r="H66" s="56">
        <v>44</v>
      </c>
      <c r="I66" s="56">
        <v>67</v>
      </c>
      <c r="L66" s="134">
        <f>[1]Планки!H66</f>
        <v>103</v>
      </c>
      <c r="M66" s="134">
        <f>[1]Планки!I66</f>
        <v>880</v>
      </c>
      <c r="N66" s="134">
        <f>[1]Планки!J66</f>
        <v>130</v>
      </c>
      <c r="O66" s="224">
        <f>[1]Планки!K66</f>
        <v>750</v>
      </c>
      <c r="P66" s="224">
        <f>[1]Планки!L66</f>
        <v>315</v>
      </c>
      <c r="Q66" s="134">
        <f>[1]Планки!M66</f>
        <v>330</v>
      </c>
      <c r="R66" s="134">
        <f>[1]Планки!N66</f>
        <v>365</v>
      </c>
      <c r="S66" s="224">
        <f>[1]Планки!O66</f>
        <v>57</v>
      </c>
      <c r="T66" s="134">
        <f>[1]Планки!P66</f>
        <v>68</v>
      </c>
      <c r="U66" s="134">
        <f>[1]Планки!Q66</f>
        <v>115</v>
      </c>
      <c r="V66" s="134" t="str">
        <f>[1]Планки!R66</f>
        <v>модель нашита  (L4=29 L5=37 L6=85)</v>
      </c>
      <c r="AB66" s="215"/>
      <c r="AC66" s="215">
        <f>'[2]Изложницы без бурта'!A66</f>
        <v>0</v>
      </c>
      <c r="AD66" s="215">
        <f>'[2]Изложницы без бурта'!B66</f>
        <v>80</v>
      </c>
      <c r="AE66" s="215">
        <f>'[2]Изложницы без бурта'!C66</f>
        <v>245</v>
      </c>
      <c r="AF66" s="56">
        <f>'[2]Изложницы без бурта'!D66</f>
        <v>140</v>
      </c>
      <c r="AG66" s="56">
        <f>'[2]Изложницы без бурта'!E66</f>
        <v>115</v>
      </c>
      <c r="AH66" s="56" t="str">
        <f>'[2]Изложницы без бурта'!F66</f>
        <v>7211867-9</v>
      </c>
      <c r="AI66" s="56">
        <f>'[2]Изложницы без бурта'!G66</f>
        <v>0</v>
      </c>
      <c r="AJ66" s="56">
        <f>'[2]Изложницы без бурта'!H66</f>
        <v>0</v>
      </c>
      <c r="AK66" s="56">
        <f>'[2]Изложницы без бурта'!I66</f>
        <v>0</v>
      </c>
      <c r="AL66" s="56">
        <f>'[2]Изложницы без бурта'!J66</f>
        <v>0</v>
      </c>
      <c r="AM66" s="56">
        <f>'[2]Изложницы без бурта'!K66</f>
        <v>0</v>
      </c>
      <c r="AR66" s="359">
        <v>298</v>
      </c>
      <c r="AS66" s="359">
        <v>252.5</v>
      </c>
      <c r="AT66" s="359">
        <v>318</v>
      </c>
      <c r="AU66" s="359">
        <v>197</v>
      </c>
      <c r="AV66" s="359">
        <v>375</v>
      </c>
      <c r="AW66" s="359">
        <v>450</v>
      </c>
      <c r="AX66" s="384" t="s">
        <v>501</v>
      </c>
    </row>
    <row r="67" spans="1:50" ht="14.4" x14ac:dyDescent="0.25">
      <c r="L67" s="134">
        <f>[1]Планки!H67</f>
        <v>38</v>
      </c>
      <c r="M67" s="134">
        <f>[1]Планки!I67</f>
        <v>950</v>
      </c>
      <c r="N67" s="134">
        <f>[1]Планки!J67</f>
        <v>195</v>
      </c>
      <c r="O67" s="224">
        <f>[1]Планки!K67</f>
        <v>755</v>
      </c>
      <c r="P67" s="224">
        <f>[1]Планки!L67</f>
        <v>345</v>
      </c>
      <c r="Q67" s="134">
        <f>[1]Планки!M67</f>
        <v>355</v>
      </c>
      <c r="R67" s="134">
        <f>[1]Планки!N67</f>
        <v>440</v>
      </c>
      <c r="S67" s="224">
        <f>[1]Планки!O67</f>
        <v>50</v>
      </c>
      <c r="T67" s="134">
        <f>[1]Планки!P67</f>
        <v>60</v>
      </c>
      <c r="U67" s="134">
        <f>[1]Планки!Q67</f>
        <v>100</v>
      </c>
      <c r="V67" s="134">
        <f>[1]Планки!R67</f>
        <v>0</v>
      </c>
      <c r="AB67" s="215"/>
      <c r="AC67" s="215">
        <f>'[2]Изложницы без бурта'!A67</f>
        <v>0</v>
      </c>
      <c r="AD67" s="215">
        <f>'[2]Изложницы без бурта'!B67</f>
        <v>80</v>
      </c>
      <c r="AE67" s="215">
        <f>'[2]Изложницы без бурта'!C67</f>
        <v>245</v>
      </c>
      <c r="AF67" s="56">
        <f>'[2]Изложницы без бурта'!D67</f>
        <v>140</v>
      </c>
      <c r="AG67" s="56">
        <f>'[2]Изложницы без бурта'!E67</f>
        <v>115</v>
      </c>
      <c r="AH67" s="56" t="str">
        <f>'[2]Изложницы без бурта'!F67</f>
        <v>7211867-9</v>
      </c>
      <c r="AI67" s="56">
        <f>'[2]Изложницы без бурта'!G67</f>
        <v>0</v>
      </c>
      <c r="AJ67" s="56">
        <f>'[2]Изложницы без бурта'!H67</f>
        <v>0</v>
      </c>
      <c r="AK67" s="56">
        <f>'[2]Изложницы без бурта'!I67</f>
        <v>0</v>
      </c>
      <c r="AL67" s="56">
        <f>'[2]Изложницы без бурта'!J67</f>
        <v>0</v>
      </c>
      <c r="AM67" s="56">
        <f>'[2]Изложницы без бурта'!K67</f>
        <v>0</v>
      </c>
      <c r="AR67" s="359">
        <v>297</v>
      </c>
      <c r="AS67" s="359">
        <v>260</v>
      </c>
      <c r="AT67" s="359">
        <v>315</v>
      </c>
      <c r="AU67" s="359">
        <v>190</v>
      </c>
      <c r="AV67" s="359">
        <v>375</v>
      </c>
      <c r="AW67" s="359">
        <v>450</v>
      </c>
      <c r="AX67" s="384" t="s">
        <v>502</v>
      </c>
    </row>
    <row r="68" spans="1:50" ht="15" thickBot="1" x14ac:dyDescent="0.3">
      <c r="L68" s="134">
        <f>[1]Планки!H68</f>
        <v>72</v>
      </c>
      <c r="M68" s="134">
        <f>[1]Планки!I68</f>
        <v>920</v>
      </c>
      <c r="N68" s="134">
        <f>[1]Планки!J68</f>
        <v>160</v>
      </c>
      <c r="O68" s="224">
        <f>[1]Планки!K68</f>
        <v>760</v>
      </c>
      <c r="P68" s="224">
        <f>[1]Планки!L68</f>
        <v>467</v>
      </c>
      <c r="Q68" s="134">
        <f>[1]Планки!M68</f>
        <v>488</v>
      </c>
      <c r="R68" s="134">
        <f>[1]Планки!N68</f>
        <v>525</v>
      </c>
      <c r="S68" s="224">
        <f>[1]Планки!O68</f>
        <v>46</v>
      </c>
      <c r="T68" s="134">
        <f>[1]Планки!P68</f>
        <v>60</v>
      </c>
      <c r="U68" s="134">
        <f>[1]Планки!Q68</f>
        <v>130</v>
      </c>
      <c r="V68" s="134" t="str">
        <f>[1]Планки!R68</f>
        <v>модель нашита  (L4=34 L5=48 L6=118)</v>
      </c>
      <c r="AB68" s="215"/>
      <c r="AC68" s="215">
        <f>'[2]Изложницы без бурта'!A68</f>
        <v>0</v>
      </c>
      <c r="AD68" s="215">
        <f>'[2]Изложницы без бурта'!B68</f>
        <v>80</v>
      </c>
      <c r="AE68" s="215">
        <f>'[2]Изложницы без бурта'!C68</f>
        <v>245</v>
      </c>
      <c r="AF68" s="56">
        <f>'[2]Изложницы без бурта'!D68</f>
        <v>140</v>
      </c>
      <c r="AG68" s="56">
        <f>'[2]Изложницы без бурта'!E68</f>
        <v>115</v>
      </c>
      <c r="AH68" s="56" t="str">
        <f>'[2]Изложницы без бурта'!F68</f>
        <v>7211867-9</v>
      </c>
      <c r="AI68" s="56">
        <f>'[2]Изложницы без бурта'!G68</f>
        <v>0</v>
      </c>
      <c r="AJ68" s="56">
        <f>'[2]Изложницы без бурта'!H68</f>
        <v>0</v>
      </c>
      <c r="AK68" s="56">
        <f>'[2]Изложницы без бурта'!I68</f>
        <v>0</v>
      </c>
      <c r="AL68" s="56">
        <f>'[2]Изложницы без бурта'!J68</f>
        <v>0</v>
      </c>
      <c r="AM68" s="56">
        <f>'[2]Изложницы без бурта'!K68</f>
        <v>0</v>
      </c>
      <c r="AR68" s="359">
        <v>328</v>
      </c>
      <c r="AS68" s="359">
        <v>260</v>
      </c>
      <c r="AT68" s="360">
        <v>375</v>
      </c>
      <c r="AU68" s="359">
        <v>340</v>
      </c>
      <c r="AV68" s="359">
        <v>375</v>
      </c>
      <c r="AW68" s="359">
        <v>450</v>
      </c>
      <c r="AX68" s="384" t="s">
        <v>531</v>
      </c>
    </row>
    <row r="69" spans="1:50" ht="15" thickBot="1" x14ac:dyDescent="0.3">
      <c r="L69" s="134">
        <f>[1]Планки!H69</f>
        <v>33</v>
      </c>
      <c r="M69" s="134">
        <f>[1]Планки!I69</f>
        <v>980</v>
      </c>
      <c r="N69" s="134">
        <f>[1]Планки!J69</f>
        <v>215</v>
      </c>
      <c r="O69" s="224">
        <f>[1]Планки!K69</f>
        <v>765</v>
      </c>
      <c r="P69" s="224">
        <f>[1]Планки!L69</f>
        <v>300</v>
      </c>
      <c r="Q69" s="134">
        <f>[1]Планки!M69</f>
        <v>325</v>
      </c>
      <c r="R69" s="134">
        <f>[1]Планки!N69</f>
        <v>375</v>
      </c>
      <c r="S69" s="224">
        <f>[1]Планки!O69</f>
        <v>55</v>
      </c>
      <c r="T69" s="134">
        <f>[1]Планки!P69</f>
        <v>66</v>
      </c>
      <c r="U69" s="134">
        <f>[1]Планки!Q69</f>
        <v>165</v>
      </c>
      <c r="V69" s="134">
        <f>[1]Планки!R69</f>
        <v>0</v>
      </c>
      <c r="AB69" s="215"/>
      <c r="AC69" s="215">
        <f>'[2]Изложницы без бурта'!A69</f>
        <v>0</v>
      </c>
      <c r="AD69" s="215">
        <f>'[2]Изложницы без бурта'!B69</f>
        <v>82.5</v>
      </c>
      <c r="AE69" s="215">
        <f>'[2]Изложницы без бурта'!C69</f>
        <v>243</v>
      </c>
      <c r="AF69" s="56">
        <f>'[2]Изложницы без бурта'!D69</f>
        <v>140</v>
      </c>
      <c r="AG69" s="56">
        <f>'[2]Изложницы без бурта'!E69</f>
        <v>115</v>
      </c>
      <c r="AH69" s="56" t="str">
        <f>'[2]Изложницы без бурта'!F69</f>
        <v>7211867-10</v>
      </c>
      <c r="AI69" s="56">
        <f>'[2]Изложницы без бурта'!G69</f>
        <v>0</v>
      </c>
      <c r="AJ69" s="56">
        <f>'[2]Изложницы без бурта'!H69</f>
        <v>0</v>
      </c>
      <c r="AK69" s="56">
        <f>'[2]Изложницы без бурта'!I69</f>
        <v>0</v>
      </c>
      <c r="AL69" s="56">
        <f>'[2]Изложницы без бурта'!J69</f>
        <v>0</v>
      </c>
      <c r="AM69" s="56">
        <f>'[2]Изложницы без бурта'!K69</f>
        <v>0</v>
      </c>
      <c r="AR69" s="359">
        <v>382</v>
      </c>
      <c r="AS69" s="366">
        <v>260</v>
      </c>
      <c r="AT69" s="367">
        <v>200</v>
      </c>
      <c r="AU69" s="368">
        <v>100</v>
      </c>
      <c r="AV69" s="359">
        <v>450</v>
      </c>
      <c r="AW69" s="359">
        <v>450</v>
      </c>
      <c r="AX69" s="384" t="s">
        <v>532</v>
      </c>
    </row>
    <row r="70" spans="1:50" ht="15" thickBot="1" x14ac:dyDescent="0.3">
      <c r="L70" s="134">
        <f>[1]Планки!H70</f>
        <v>34</v>
      </c>
      <c r="M70" s="134">
        <f>[1]Планки!I70</f>
        <v>950</v>
      </c>
      <c r="N70" s="134">
        <f>[1]Планки!J70</f>
        <v>185</v>
      </c>
      <c r="O70" s="224">
        <f>[1]Планки!K70</f>
        <v>765</v>
      </c>
      <c r="P70" s="224">
        <f>[1]Планки!L70</f>
        <v>355</v>
      </c>
      <c r="Q70" s="134">
        <f>[1]Планки!M70</f>
        <v>365</v>
      </c>
      <c r="R70" s="134">
        <f>[1]Планки!N70</f>
        <v>405</v>
      </c>
      <c r="S70" s="224">
        <f>[1]Планки!O70</f>
        <v>45</v>
      </c>
      <c r="T70" s="134">
        <f>[1]Планки!P70</f>
        <v>54</v>
      </c>
      <c r="U70" s="134">
        <f>[1]Планки!Q70</f>
        <v>135</v>
      </c>
      <c r="V70" s="134">
        <f>[1]Планки!R70</f>
        <v>0</v>
      </c>
      <c r="AB70" s="215"/>
      <c r="AC70" s="215">
        <f>'[2]Изложницы без бурта'!A70</f>
        <v>0</v>
      </c>
      <c r="AD70" s="215">
        <f>'[2]Изложницы без бурта'!B70</f>
        <v>82.5</v>
      </c>
      <c r="AE70" s="215">
        <f>'[2]Изложницы без бурта'!C70</f>
        <v>240</v>
      </c>
      <c r="AF70" s="56">
        <f>'[2]Изложницы без бурта'!D70</f>
        <v>140</v>
      </c>
      <c r="AG70" s="56">
        <f>'[2]Изложницы без бурта'!E70</f>
        <v>115</v>
      </c>
      <c r="AH70" s="56" t="str">
        <f>'[2]Изложницы без бурта'!F70</f>
        <v>7211867-10</v>
      </c>
      <c r="AI70" s="56">
        <f>'[2]Изложницы без бурта'!G70</f>
        <v>0</v>
      </c>
      <c r="AJ70" s="56">
        <f>'[2]Изложницы без бурта'!H70</f>
        <v>0</v>
      </c>
      <c r="AK70" s="56">
        <f>'[2]Изложницы без бурта'!I70</f>
        <v>0</v>
      </c>
      <c r="AL70" s="56">
        <f>'[2]Изложницы без бурта'!J70</f>
        <v>0</v>
      </c>
      <c r="AM70" s="56">
        <f>'[2]Изложницы без бурта'!K70</f>
        <v>0</v>
      </c>
      <c r="AR70" s="359">
        <v>382</v>
      </c>
      <c r="AS70" s="366">
        <v>260</v>
      </c>
      <c r="AT70" s="367">
        <v>200</v>
      </c>
      <c r="AU70" s="372">
        <v>105</v>
      </c>
      <c r="AV70" s="359">
        <v>450</v>
      </c>
      <c r="AW70" s="359">
        <v>450</v>
      </c>
      <c r="AX70" s="384" t="s">
        <v>532</v>
      </c>
    </row>
    <row r="71" spans="1:50" ht="15" thickBot="1" x14ac:dyDescent="0.3">
      <c r="A71" s="247" t="s">
        <v>132</v>
      </c>
      <c r="B71" s="251" t="s">
        <v>174</v>
      </c>
      <c r="C71" s="1793" t="s">
        <v>175</v>
      </c>
      <c r="D71" s="1793"/>
      <c r="E71" s="1793"/>
      <c r="F71" s="245"/>
      <c r="G71" s="245" t="s">
        <v>149</v>
      </c>
      <c r="H71" s="244"/>
      <c r="I71" s="244"/>
      <c r="J71" s="245" t="s">
        <v>186</v>
      </c>
      <c r="K71" s="245"/>
      <c r="L71" s="134">
        <f>[1]Планки!H71</f>
        <v>114</v>
      </c>
      <c r="M71" s="134">
        <f>[1]Планки!I71</f>
        <v>930</v>
      </c>
      <c r="N71" s="134">
        <f>[1]Планки!J71</f>
        <v>150</v>
      </c>
      <c r="O71" s="224">
        <f>[1]Планки!K71</f>
        <v>780</v>
      </c>
      <c r="P71" s="224">
        <f>[1]Планки!L71</f>
        <v>160</v>
      </c>
      <c r="Q71" s="134">
        <f>[1]Планки!M71</f>
        <v>175</v>
      </c>
      <c r="R71" s="134">
        <f>[1]Планки!N71</f>
        <v>240</v>
      </c>
      <c r="S71" s="224">
        <f>[1]Планки!O71</f>
        <v>85</v>
      </c>
      <c r="T71" s="134">
        <f>[1]Планки!P71</f>
        <v>95</v>
      </c>
      <c r="U71" s="134">
        <f>[1]Планки!Q71</f>
        <v>150</v>
      </c>
      <c r="V71" s="134" t="str">
        <f>[1]Планки!R71</f>
        <v>модель нашита  (L4=35 L5=42 L6=110)</v>
      </c>
      <c r="AB71" s="215"/>
      <c r="AC71" s="215">
        <f>'[2]Изложницы без бурта'!A71</f>
        <v>0</v>
      </c>
      <c r="AD71" s="215">
        <f>'[2]Изложницы без бурта'!B71</f>
        <v>82.5</v>
      </c>
      <c r="AE71" s="215">
        <f>'[2]Изложницы без бурта'!C71</f>
        <v>245</v>
      </c>
      <c r="AF71" s="56">
        <f>'[2]Изложницы без бурта'!D71</f>
        <v>140</v>
      </c>
      <c r="AG71" s="56">
        <f>'[2]Изложницы без бурта'!E71</f>
        <v>115</v>
      </c>
      <c r="AH71" s="56" t="str">
        <f>'[2]Изложницы без бурта'!F71</f>
        <v>7211867-10</v>
      </c>
      <c r="AI71" s="56">
        <f>'[2]Изложницы без бурта'!G71</f>
        <v>0</v>
      </c>
      <c r="AJ71" s="56">
        <f>'[2]Изложницы без бурта'!H71</f>
        <v>0</v>
      </c>
      <c r="AK71" s="56">
        <f>'[2]Изложницы без бурта'!I71</f>
        <v>0</v>
      </c>
      <c r="AL71" s="56">
        <f>'[2]Изложницы без бурта'!J71</f>
        <v>0</v>
      </c>
      <c r="AM71" s="56">
        <f>'[2]Изложницы без бурта'!K71</f>
        <v>0</v>
      </c>
      <c r="AR71" s="359">
        <v>330</v>
      </c>
      <c r="AS71" s="359">
        <v>260</v>
      </c>
      <c r="AT71" s="370">
        <v>380</v>
      </c>
      <c r="AU71" s="367">
        <v>315</v>
      </c>
      <c r="AV71" s="359">
        <v>375</v>
      </c>
      <c r="AW71" s="359">
        <v>450</v>
      </c>
      <c r="AX71" s="384" t="s">
        <v>531</v>
      </c>
    </row>
    <row r="72" spans="1:50" ht="15" thickBot="1" x14ac:dyDescent="0.3">
      <c r="A72" s="252"/>
      <c r="B72" s="251" t="s">
        <v>176</v>
      </c>
      <c r="C72" s="244" t="s">
        <v>150</v>
      </c>
      <c r="D72" s="244" t="s">
        <v>151</v>
      </c>
      <c r="E72" s="244" t="s">
        <v>152</v>
      </c>
      <c r="F72" s="245" t="s">
        <v>177</v>
      </c>
      <c r="G72" s="245" t="s">
        <v>178</v>
      </c>
      <c r="H72" s="246" t="s">
        <v>179</v>
      </c>
      <c r="I72" s="246" t="s">
        <v>180</v>
      </c>
      <c r="J72" s="245" t="s">
        <v>187</v>
      </c>
      <c r="K72" s="246" t="s">
        <v>188</v>
      </c>
      <c r="L72" s="134">
        <f>[1]Планки!H72</f>
        <v>90</v>
      </c>
      <c r="M72" s="134">
        <f>[1]Планки!I72</f>
        <v>915</v>
      </c>
      <c r="N72" s="134">
        <f>[1]Планки!J72</f>
        <v>130</v>
      </c>
      <c r="O72" s="224">
        <f>[1]Планки!K72</f>
        <v>785</v>
      </c>
      <c r="P72" s="224">
        <f>[1]Планки!L72</f>
        <v>210</v>
      </c>
      <c r="Q72" s="134">
        <f>[1]Планки!M72</f>
        <v>230</v>
      </c>
      <c r="R72" s="134">
        <f>[1]Планки!N72</f>
        <v>260</v>
      </c>
      <c r="S72" s="224">
        <f>[1]Планки!O72</f>
        <v>30</v>
      </c>
      <c r="T72" s="134">
        <f>[1]Планки!P72</f>
        <v>40</v>
      </c>
      <c r="U72" s="134">
        <f>[1]Планки!Q72</f>
        <v>100</v>
      </c>
      <c r="V72" s="134">
        <f>[1]Планки!R72</f>
        <v>0</v>
      </c>
      <c r="AB72" s="215"/>
      <c r="AC72" s="215">
        <f>'[2]Изложницы без бурта'!A72</f>
        <v>0</v>
      </c>
      <c r="AD72" s="215">
        <f>'[2]Изложницы без бурта'!B72</f>
        <v>82.5</v>
      </c>
      <c r="AE72" s="215">
        <f>'[2]Изложницы без бурта'!C72</f>
        <v>245</v>
      </c>
      <c r="AF72" s="56">
        <f>'[2]Изложницы без бурта'!D72</f>
        <v>140</v>
      </c>
      <c r="AG72" s="56">
        <f>'[2]Изложницы без бурта'!E72</f>
        <v>115</v>
      </c>
      <c r="AH72" s="56" t="str">
        <f>'[2]Изложницы без бурта'!F72</f>
        <v>7211867-10</v>
      </c>
      <c r="AI72" s="56">
        <f>'[2]Изложницы без бурта'!G72</f>
        <v>0</v>
      </c>
      <c r="AJ72" s="56">
        <f>'[2]Изложницы без бурта'!H72</f>
        <v>0</v>
      </c>
      <c r="AK72" s="56">
        <f>'[2]Изложницы без бурта'!I72</f>
        <v>0</v>
      </c>
      <c r="AL72" s="56">
        <f>'[2]Изложницы без бурта'!J72</f>
        <v>0</v>
      </c>
      <c r="AM72" s="56">
        <f>'[2]Изложницы без бурта'!K72</f>
        <v>0</v>
      </c>
      <c r="AR72" s="359">
        <v>330</v>
      </c>
      <c r="AS72" s="359">
        <v>260</v>
      </c>
      <c r="AT72" s="366">
        <v>380</v>
      </c>
      <c r="AU72" s="367">
        <v>300</v>
      </c>
      <c r="AV72" s="359">
        <v>375</v>
      </c>
      <c r="AW72" s="359">
        <v>450</v>
      </c>
      <c r="AX72" s="384" t="s">
        <v>531</v>
      </c>
    </row>
    <row r="73" spans="1:50" ht="14.4" x14ac:dyDescent="0.25">
      <c r="A73" s="252"/>
      <c r="L73" s="134">
        <f>[1]Планки!H73</f>
        <v>10</v>
      </c>
      <c r="M73" s="134">
        <f>[1]Планки!I73</f>
        <v>1115</v>
      </c>
      <c r="N73" s="134">
        <f>[1]Планки!J73</f>
        <v>130</v>
      </c>
      <c r="O73" s="224">
        <f>[1]Планки!K73</f>
        <v>785</v>
      </c>
      <c r="P73" s="224">
        <f>[1]Планки!L73</f>
        <v>345</v>
      </c>
      <c r="Q73" s="134">
        <f>[1]Планки!M73</f>
        <v>380</v>
      </c>
      <c r="R73" s="134">
        <f>[1]Планки!N73</f>
        <v>430</v>
      </c>
      <c r="S73" s="224">
        <f>[1]Планки!O73</f>
        <v>50</v>
      </c>
      <c r="T73" s="134">
        <f>[1]Планки!P73</f>
        <v>60</v>
      </c>
      <c r="U73" s="134">
        <f>[1]Планки!Q73</f>
        <v>130</v>
      </c>
      <c r="V73" s="134" t="str">
        <f>[1]Планки!R73</f>
        <v>модель нашита  (L4=25 L5=48 L6=115)</v>
      </c>
      <c r="AB73" s="215"/>
      <c r="AC73" s="215">
        <f>'[2]Изложницы без бурта'!A73</f>
        <v>0</v>
      </c>
      <c r="AD73" s="215">
        <f>'[2]Изложницы без бурта'!B73</f>
        <v>82.5</v>
      </c>
      <c r="AE73" s="215">
        <f>'[2]Изложницы без бурта'!C73</f>
        <v>245</v>
      </c>
      <c r="AF73" s="56">
        <f>'[2]Изложницы без бурта'!D73</f>
        <v>140</v>
      </c>
      <c r="AG73" s="56">
        <f>'[2]Изложницы без бурта'!E73</f>
        <v>115</v>
      </c>
      <c r="AH73" s="56" t="str">
        <f>'[2]Изложницы без бурта'!F73</f>
        <v>7211867-10</v>
      </c>
      <c r="AI73" s="56">
        <f>'[2]Изложницы без бурта'!G73</f>
        <v>0</v>
      </c>
      <c r="AJ73" s="56">
        <f>'[2]Изложницы без бурта'!H73</f>
        <v>0</v>
      </c>
      <c r="AK73" s="56">
        <f>'[2]Изложницы без бурта'!I73</f>
        <v>0</v>
      </c>
      <c r="AL73" s="56">
        <f>'[2]Изложницы без бурта'!J73</f>
        <v>0</v>
      </c>
      <c r="AM73" s="56">
        <f>'[2]Изложницы без бурта'!K73</f>
        <v>0</v>
      </c>
      <c r="AR73" s="359">
        <v>353</v>
      </c>
      <c r="AS73" s="359">
        <v>260</v>
      </c>
      <c r="AT73" s="359">
        <v>380</v>
      </c>
      <c r="AU73" s="358">
        <v>310</v>
      </c>
      <c r="AV73" s="359">
        <v>375</v>
      </c>
      <c r="AW73" s="359">
        <v>450</v>
      </c>
      <c r="AX73" s="384" t="s">
        <v>531</v>
      </c>
    </row>
    <row r="74" spans="1:50" ht="14.4" x14ac:dyDescent="0.25">
      <c r="A74" s="252" t="s">
        <v>189</v>
      </c>
      <c r="B74" s="241">
        <v>4</v>
      </c>
      <c r="C74" s="56">
        <v>20</v>
      </c>
      <c r="D74" s="56">
        <v>17</v>
      </c>
      <c r="E74" s="56">
        <v>23</v>
      </c>
      <c r="F74" s="56">
        <v>55</v>
      </c>
      <c r="G74" s="56">
        <v>35</v>
      </c>
      <c r="H74" s="56">
        <v>28</v>
      </c>
      <c r="I74" s="56">
        <v>40</v>
      </c>
      <c r="J74" s="56">
        <v>110</v>
      </c>
      <c r="K74" s="56">
        <v>90</v>
      </c>
      <c r="L74" s="134">
        <f>[1]Планки!H74</f>
        <v>14</v>
      </c>
      <c r="M74" s="134">
        <f>[1]Планки!I74</f>
        <v>948</v>
      </c>
      <c r="N74" s="134">
        <f>[1]Планки!J74</f>
        <v>160</v>
      </c>
      <c r="O74" s="224">
        <f>[1]Планки!K74</f>
        <v>788</v>
      </c>
      <c r="P74" s="224">
        <f>[1]Планки!L74</f>
        <v>200</v>
      </c>
      <c r="Q74" s="134">
        <f>[1]Планки!M74</f>
        <v>215</v>
      </c>
      <c r="R74" s="134">
        <f>[1]Планки!N74</f>
        <v>255</v>
      </c>
      <c r="S74" s="224">
        <f>[1]Планки!O74</f>
        <v>50</v>
      </c>
      <c r="T74" s="134">
        <f>[1]Планки!P74</f>
        <v>58</v>
      </c>
      <c r="U74" s="134">
        <f>[1]Планки!Q74</f>
        <v>120</v>
      </c>
      <c r="V74" s="134" t="str">
        <f>[1]Планки!R74</f>
        <v>модель нашита  (L4=43 L5=51 L6=113)</v>
      </c>
      <c r="AB74" s="215"/>
      <c r="AC74" s="215">
        <f>'[2]Изложницы без бурта'!A74</f>
        <v>0</v>
      </c>
      <c r="AD74" s="215">
        <f>'[2]Изложницы без бурта'!B74</f>
        <v>82.5</v>
      </c>
      <c r="AE74" s="215">
        <f>'[2]Изложницы без бурта'!C74</f>
        <v>245</v>
      </c>
      <c r="AF74" s="56">
        <f>'[2]Изложницы без бурта'!D74</f>
        <v>140</v>
      </c>
      <c r="AG74" s="56">
        <f>'[2]Изложницы без бурта'!E74</f>
        <v>115</v>
      </c>
      <c r="AH74" s="56" t="str">
        <f>'[2]Изложницы без бурта'!F74</f>
        <v>7211867-10</v>
      </c>
      <c r="AI74" s="56">
        <f>'[2]Изложницы без бурта'!G74</f>
        <v>0</v>
      </c>
      <c r="AJ74" s="56">
        <f>'[2]Изложницы без бурта'!H74</f>
        <v>0</v>
      </c>
      <c r="AK74" s="56">
        <f>'[2]Изложницы без бурта'!I74</f>
        <v>0</v>
      </c>
      <c r="AL74" s="56">
        <f>'[2]Изложницы без бурта'!J74</f>
        <v>0</v>
      </c>
      <c r="AM74" s="56">
        <f>'[2]Изложницы без бурта'!K74</f>
        <v>0</v>
      </c>
      <c r="AR74" s="359">
        <v>304</v>
      </c>
      <c r="AS74" s="359">
        <v>260</v>
      </c>
      <c r="AT74" s="359">
        <v>310</v>
      </c>
      <c r="AU74" s="359">
        <v>200</v>
      </c>
      <c r="AV74" s="359">
        <v>375</v>
      </c>
      <c r="AW74" s="359">
        <v>450</v>
      </c>
      <c r="AX74" s="384" t="s">
        <v>502</v>
      </c>
    </row>
    <row r="75" spans="1:50" ht="14.4" x14ac:dyDescent="0.25">
      <c r="A75" s="252" t="s">
        <v>190</v>
      </c>
      <c r="B75" s="241">
        <v>6</v>
      </c>
      <c r="C75" s="56">
        <v>19</v>
      </c>
      <c r="D75" s="56">
        <v>14</v>
      </c>
      <c r="E75" s="56">
        <v>20</v>
      </c>
      <c r="F75" s="56">
        <v>60</v>
      </c>
      <c r="G75" s="56">
        <v>35</v>
      </c>
      <c r="H75" s="56">
        <v>29</v>
      </c>
      <c r="I75" s="56">
        <v>44</v>
      </c>
      <c r="J75" s="56">
        <v>110</v>
      </c>
      <c r="K75" s="56">
        <v>90</v>
      </c>
      <c r="L75" s="134">
        <f>[1]Планки!H75</f>
        <v>71</v>
      </c>
      <c r="M75" s="134">
        <f>[1]Планки!I75</f>
        <v>920</v>
      </c>
      <c r="N75" s="134">
        <f>[1]Планки!J75</f>
        <v>130</v>
      </c>
      <c r="O75" s="224">
        <f>[1]Планки!K75</f>
        <v>790</v>
      </c>
      <c r="P75" s="224">
        <f>[1]Планки!L75</f>
        <v>200</v>
      </c>
      <c r="Q75" s="134">
        <f>[1]Планки!M75</f>
        <v>210</v>
      </c>
      <c r="R75" s="134">
        <f>[1]Планки!N75</f>
        <v>240</v>
      </c>
      <c r="S75" s="224">
        <f>[1]Планки!O75</f>
        <v>30</v>
      </c>
      <c r="T75" s="134">
        <f>[1]Планки!P75</f>
        <v>40</v>
      </c>
      <c r="U75" s="134">
        <f>[1]Планки!Q75</f>
        <v>95</v>
      </c>
      <c r="V75" s="134">
        <f>[1]Планки!R75</f>
        <v>0</v>
      </c>
      <c r="AB75" s="215"/>
      <c r="AC75" s="215">
        <f>'[2]Изложницы без бурта'!A75</f>
        <v>0</v>
      </c>
      <c r="AD75" s="215">
        <f>'[2]Изложницы без бурта'!B75</f>
        <v>82.5</v>
      </c>
      <c r="AE75" s="215">
        <f>'[2]Изложницы без бурта'!C75</f>
        <v>245</v>
      </c>
      <c r="AF75" s="56">
        <f>'[2]Изложницы без бурта'!D75</f>
        <v>140</v>
      </c>
      <c r="AG75" s="56">
        <f>'[2]Изложницы без бурта'!E75</f>
        <v>115</v>
      </c>
      <c r="AH75" s="56" t="str">
        <f>'[2]Изложницы без бурта'!F75</f>
        <v>7211867-10</v>
      </c>
      <c r="AI75" s="56">
        <f>'[2]Изложницы без бурта'!G75</f>
        <v>0</v>
      </c>
      <c r="AJ75" s="56">
        <f>'[2]Изложницы без бурта'!H75</f>
        <v>0</v>
      </c>
      <c r="AK75" s="56">
        <f>'[2]Изложницы без бурта'!I75</f>
        <v>0</v>
      </c>
      <c r="AL75" s="56">
        <f>'[2]Изложницы без бурта'!J75</f>
        <v>0</v>
      </c>
      <c r="AM75" s="56">
        <f>'[2]Изложницы без бурта'!K75</f>
        <v>0</v>
      </c>
      <c r="AR75" s="359">
        <v>288</v>
      </c>
      <c r="AS75" s="359">
        <v>262.5</v>
      </c>
      <c r="AT75" s="359">
        <v>320</v>
      </c>
      <c r="AU75" s="359">
        <v>200</v>
      </c>
      <c r="AV75" s="359">
        <v>375</v>
      </c>
      <c r="AW75" s="359">
        <v>450</v>
      </c>
      <c r="AX75" s="384" t="s">
        <v>503</v>
      </c>
    </row>
    <row r="76" spans="1:50" ht="14.4" x14ac:dyDescent="0.25">
      <c r="A76" s="252" t="s">
        <v>191</v>
      </c>
      <c r="B76" s="241">
        <v>6</v>
      </c>
      <c r="C76" s="56">
        <v>22</v>
      </c>
      <c r="D76" s="56">
        <v>16</v>
      </c>
      <c r="E76" s="56">
        <v>21</v>
      </c>
      <c r="F76" s="56">
        <v>65</v>
      </c>
      <c r="G76" s="56">
        <v>38</v>
      </c>
      <c r="H76" s="56">
        <v>32</v>
      </c>
      <c r="I76" s="56">
        <v>48</v>
      </c>
      <c r="J76" s="56">
        <v>120</v>
      </c>
      <c r="K76" s="56">
        <v>100</v>
      </c>
      <c r="L76" s="134">
        <f>[1]Планки!H76</f>
        <v>44</v>
      </c>
      <c r="M76" s="134">
        <f>[1]Планки!I76</f>
        <v>980</v>
      </c>
      <c r="N76" s="134">
        <f>[1]Планки!J76</f>
        <v>190</v>
      </c>
      <c r="O76" s="224">
        <f>[1]Планки!K76</f>
        <v>790</v>
      </c>
      <c r="P76" s="224">
        <f>[1]Планки!L76</f>
        <v>320</v>
      </c>
      <c r="Q76" s="134">
        <f>[1]Планки!M76</f>
        <v>330</v>
      </c>
      <c r="R76" s="134">
        <f>[1]Планки!N76</f>
        <v>375</v>
      </c>
      <c r="S76" s="224">
        <f>[1]Планки!O76</f>
        <v>45</v>
      </c>
      <c r="T76" s="134">
        <f>[1]Планки!P76</f>
        <v>55</v>
      </c>
      <c r="U76" s="134">
        <f>[1]Планки!Q76</f>
        <v>135</v>
      </c>
      <c r="V76" s="134">
        <f>[1]Планки!R76</f>
        <v>0</v>
      </c>
      <c r="AB76" s="215"/>
      <c r="AC76" s="215">
        <f>'[2]Изложницы без бурта'!A76</f>
        <v>0</v>
      </c>
      <c r="AD76" s="215">
        <f>'[2]Изложницы без бурта'!B76</f>
        <v>82.5</v>
      </c>
      <c r="AE76" s="215">
        <f>'[2]Изложницы без бурта'!C76</f>
        <v>240</v>
      </c>
      <c r="AF76" s="56">
        <f>'[2]Изложницы без бурта'!D76</f>
        <v>140</v>
      </c>
      <c r="AG76" s="56">
        <f>'[2]Изложницы без бурта'!E76</f>
        <v>115</v>
      </c>
      <c r="AH76" s="56" t="str">
        <f>'[2]Изложницы без бурта'!F76</f>
        <v>7211867-10</v>
      </c>
      <c r="AI76" s="56">
        <f>'[2]Изложницы без бурта'!G76</f>
        <v>0</v>
      </c>
      <c r="AJ76" s="56">
        <f>'[2]Изложницы без бурта'!H76</f>
        <v>0</v>
      </c>
      <c r="AK76" s="56">
        <f>'[2]Изложницы без бурта'!I76</f>
        <v>0</v>
      </c>
      <c r="AL76" s="56">
        <f>'[2]Изложницы без бурта'!J76</f>
        <v>0</v>
      </c>
      <c r="AM76" s="56">
        <f>'[2]Изложницы без бурта'!K76</f>
        <v>0</v>
      </c>
      <c r="AR76" s="359">
        <v>298</v>
      </c>
      <c r="AS76" s="359">
        <v>262.5</v>
      </c>
      <c r="AT76" s="359">
        <v>317</v>
      </c>
      <c r="AU76" s="359">
        <v>195</v>
      </c>
      <c r="AV76" s="359">
        <v>375</v>
      </c>
      <c r="AW76" s="359">
        <v>450</v>
      </c>
      <c r="AX76" s="384" t="s">
        <v>503</v>
      </c>
    </row>
    <row r="77" spans="1:50" ht="14.4" x14ac:dyDescent="0.25">
      <c r="A77" s="252" t="s">
        <v>192</v>
      </c>
      <c r="B77" s="241">
        <v>6</v>
      </c>
      <c r="C77" s="56">
        <v>24</v>
      </c>
      <c r="D77" s="56">
        <v>18</v>
      </c>
      <c r="E77" s="56">
        <v>24</v>
      </c>
      <c r="F77" s="56">
        <v>70</v>
      </c>
      <c r="G77" s="56">
        <v>42</v>
      </c>
      <c r="H77" s="56">
        <v>36</v>
      </c>
      <c r="I77" s="56">
        <v>54</v>
      </c>
      <c r="J77" s="56">
        <v>120</v>
      </c>
      <c r="K77" s="56">
        <v>100</v>
      </c>
      <c r="L77" s="134">
        <f>[1]Планки!H77</f>
        <v>104</v>
      </c>
      <c r="M77" s="134">
        <f>[1]Планки!I77</f>
        <v>955</v>
      </c>
      <c r="N77" s="134">
        <f>[1]Планки!J77</f>
        <v>150</v>
      </c>
      <c r="O77" s="224">
        <f>[1]Планки!K77</f>
        <v>805</v>
      </c>
      <c r="P77" s="224">
        <f>[1]Планки!L77</f>
        <v>265</v>
      </c>
      <c r="Q77" s="134">
        <f>[1]Планки!M77</f>
        <v>283</v>
      </c>
      <c r="R77" s="134">
        <f>[1]Планки!N77</f>
        <v>315</v>
      </c>
      <c r="S77" s="224">
        <f>[1]Планки!O77</f>
        <v>33</v>
      </c>
      <c r="T77" s="134">
        <f>[1]Планки!P77</f>
        <v>40</v>
      </c>
      <c r="U77" s="134">
        <f>[1]Планки!Q77</f>
        <v>105</v>
      </c>
      <c r="V77" s="134">
        <f>[1]Планки!R77</f>
        <v>0</v>
      </c>
      <c r="AB77" s="215"/>
      <c r="AC77" s="215">
        <f>'[2]Изложницы без бурта'!A77</f>
        <v>0</v>
      </c>
      <c r="AD77" s="215">
        <f>'[2]Изложницы без бурта'!B77</f>
        <v>82.5</v>
      </c>
      <c r="AE77" s="215">
        <f>'[2]Изложницы без бурта'!C77</f>
        <v>245</v>
      </c>
      <c r="AF77" s="56">
        <f>'[2]Изложницы без бурта'!D77</f>
        <v>140</v>
      </c>
      <c r="AG77" s="56">
        <f>'[2]Изложницы без бурта'!E77</f>
        <v>115</v>
      </c>
      <c r="AH77" s="56" t="str">
        <f>'[2]Изложницы без бурта'!F77</f>
        <v>7211867-10</v>
      </c>
      <c r="AI77" s="56">
        <f>'[2]Изложницы без бурта'!G77</f>
        <v>0</v>
      </c>
      <c r="AJ77" s="56">
        <f>'[2]Изложницы без бурта'!H77</f>
        <v>0</v>
      </c>
      <c r="AK77" s="56">
        <f>'[2]Изложницы без бурта'!I77</f>
        <v>0</v>
      </c>
      <c r="AL77" s="56">
        <f>'[2]Изложницы без бурта'!J77</f>
        <v>0</v>
      </c>
      <c r="AM77" s="56">
        <f>'[2]Изложницы без бурта'!K77</f>
        <v>0</v>
      </c>
      <c r="AR77" s="359">
        <v>298</v>
      </c>
      <c r="AS77" s="359">
        <v>265</v>
      </c>
      <c r="AT77" s="359">
        <v>318</v>
      </c>
      <c r="AU77" s="359">
        <v>200</v>
      </c>
      <c r="AV77" s="359">
        <v>375</v>
      </c>
      <c r="AW77" s="359">
        <v>450</v>
      </c>
      <c r="AX77" s="384" t="s">
        <v>504</v>
      </c>
    </row>
    <row r="78" spans="1:50" ht="14.4" x14ac:dyDescent="0.25">
      <c r="A78" s="252" t="s">
        <v>193</v>
      </c>
      <c r="B78" s="241">
        <v>6</v>
      </c>
      <c r="C78" s="56">
        <v>25</v>
      </c>
      <c r="D78" s="56">
        <v>19</v>
      </c>
      <c r="E78" s="56">
        <v>26</v>
      </c>
      <c r="F78" s="56">
        <v>75</v>
      </c>
      <c r="G78" s="56">
        <v>46</v>
      </c>
      <c r="H78" s="56">
        <v>35</v>
      </c>
      <c r="I78" s="56">
        <v>52</v>
      </c>
      <c r="J78" s="56">
        <v>120</v>
      </c>
      <c r="K78" s="56">
        <v>100</v>
      </c>
      <c r="L78" s="134">
        <f>[1]Планки!H78</f>
        <v>32</v>
      </c>
      <c r="M78" s="134">
        <f>[1]Планки!I78</f>
        <v>1000</v>
      </c>
      <c r="N78" s="134">
        <f>[1]Планки!J78</f>
        <v>185</v>
      </c>
      <c r="O78" s="224">
        <f>[1]Планки!K78</f>
        <v>815</v>
      </c>
      <c r="P78" s="224">
        <f>[1]Планки!L78</f>
        <v>275</v>
      </c>
      <c r="Q78" s="134">
        <f>[1]Планки!M78</f>
        <v>290</v>
      </c>
      <c r="R78" s="134">
        <f>[1]Планки!N78</f>
        <v>330</v>
      </c>
      <c r="S78" s="224">
        <f>[1]Планки!O78</f>
        <v>37</v>
      </c>
      <c r="T78" s="134">
        <f>[1]Планки!P78</f>
        <v>45</v>
      </c>
      <c r="U78" s="134">
        <f>[1]Планки!Q78</f>
        <v>140</v>
      </c>
      <c r="V78" s="134">
        <f>[1]Планки!R78</f>
        <v>0</v>
      </c>
      <c r="AB78" s="215"/>
      <c r="AC78" s="215">
        <v>0</v>
      </c>
      <c r="AD78" s="215">
        <v>0</v>
      </c>
      <c r="AE78" s="215">
        <f>'[2]Изложницы без бурта'!C78</f>
        <v>245</v>
      </c>
      <c r="AF78" s="56">
        <f>'[2]Изложницы без бурта'!D78</f>
        <v>140</v>
      </c>
      <c r="AG78" s="56">
        <f>'[2]Изложницы без бурта'!E78</f>
        <v>115</v>
      </c>
      <c r="AH78" s="56" t="str">
        <f>'[2]Изложницы без бурта'!F78</f>
        <v>7211867-10</v>
      </c>
      <c r="AI78" s="56">
        <f>'[2]Изложницы без бурта'!G78</f>
        <v>0</v>
      </c>
      <c r="AJ78" s="56">
        <f>'[2]Изложницы без бурта'!H78</f>
        <v>0</v>
      </c>
      <c r="AK78" s="56">
        <f>'[2]Изложницы без бурта'!I78</f>
        <v>0</v>
      </c>
      <c r="AL78" s="56">
        <f>'[2]Изложницы без бурта'!J78</f>
        <v>0</v>
      </c>
      <c r="AM78" s="56">
        <f>'[2]Изложницы без бурта'!K78</f>
        <v>0</v>
      </c>
      <c r="AR78" s="359">
        <v>302</v>
      </c>
      <c r="AS78" s="359">
        <v>267.5</v>
      </c>
      <c r="AT78" s="359">
        <v>317</v>
      </c>
      <c r="AU78" s="359">
        <v>200</v>
      </c>
      <c r="AV78" s="359">
        <v>375</v>
      </c>
      <c r="AW78" s="359">
        <v>450</v>
      </c>
      <c r="AX78" s="384" t="s">
        <v>474</v>
      </c>
    </row>
    <row r="79" spans="1:50" ht="14.4" x14ac:dyDescent="0.25">
      <c r="L79" s="134">
        <f>[1]Планки!H79</f>
        <v>86</v>
      </c>
      <c r="M79" s="134">
        <f>[1]Планки!I79</f>
        <v>995</v>
      </c>
      <c r="N79" s="134">
        <f>[1]Планки!J79</f>
        <v>160</v>
      </c>
      <c r="O79" s="224">
        <f>[1]Планки!K79</f>
        <v>835</v>
      </c>
      <c r="P79" s="224">
        <f>[1]Планки!L79</f>
        <v>200</v>
      </c>
      <c r="Q79" s="134">
        <f>[1]Планки!M79</f>
        <v>215</v>
      </c>
      <c r="R79" s="134">
        <f>[1]Планки!N79</f>
        <v>250</v>
      </c>
      <c r="S79" s="224">
        <f>[1]Планки!O79</f>
        <v>85</v>
      </c>
      <c r="T79" s="134">
        <f>[1]Планки!P79</f>
        <v>97</v>
      </c>
      <c r="U79" s="134">
        <f>[1]Планки!Q79</f>
        <v>155</v>
      </c>
      <c r="V79" s="134" t="str">
        <f>[1]Планки!R79</f>
        <v>модель нашита  (L4=32 L5=42 L6=100)</v>
      </c>
      <c r="AB79" s="253">
        <f>IF(MAX(AC79:AC1156)&lt;ROW(1:1),"",VLOOKUP(ROW(1:1),AC79:AD1156,2))</f>
        <v>85</v>
      </c>
      <c r="AC79" s="254">
        <f>IF(COUNTIF(AD$78:AD79,AD79)=1,MAX(AC$78:AC78)+1,"")</f>
        <v>1</v>
      </c>
      <c r="AD79" s="215">
        <f>'[2]Изложницы без бурта'!B79</f>
        <v>85</v>
      </c>
      <c r="AE79" s="215">
        <f>'[2]Изложницы без бурта'!C79</f>
        <v>240</v>
      </c>
      <c r="AF79" s="56">
        <f>'[2]Изложницы без бурта'!D79</f>
        <v>140</v>
      </c>
      <c r="AG79" s="56">
        <f>'[2]Изложницы без бурта'!E79</f>
        <v>115</v>
      </c>
      <c r="AH79" s="56" t="str">
        <f>'[2]Изложницы без бурта'!F79</f>
        <v>72.11867 - 11</v>
      </c>
      <c r="AI79" s="56">
        <f>'[2]Изложницы без бурта'!G79</f>
        <v>44970</v>
      </c>
      <c r="AJ79" s="56" t="str">
        <f>'[2]Изложницы без бурта'!H79</f>
        <v>Кокиля ф меньше 85,0 не используют -  нет толкателей</v>
      </c>
      <c r="AK79" s="56">
        <f>'[2]Изложницы без бурта'!I79</f>
        <v>0</v>
      </c>
      <c r="AL79" s="56" t="s">
        <v>562</v>
      </c>
      <c r="AM79" s="56">
        <f>'[2]Изложницы без бурта'!K79</f>
        <v>0</v>
      </c>
      <c r="AR79" s="359">
        <v>358</v>
      </c>
      <c r="AS79" s="359">
        <v>270</v>
      </c>
      <c r="AT79" s="359">
        <v>405</v>
      </c>
      <c r="AU79" s="359">
        <v>335</v>
      </c>
      <c r="AV79" s="359">
        <v>400</v>
      </c>
      <c r="AW79" s="359">
        <v>400</v>
      </c>
      <c r="AX79" s="384" t="s">
        <v>505</v>
      </c>
    </row>
    <row r="80" spans="1:50" ht="14.4" x14ac:dyDescent="0.25">
      <c r="A80" s="247" t="s">
        <v>146</v>
      </c>
      <c r="B80" s="251" t="s">
        <v>174</v>
      </c>
      <c r="C80" s="246" t="s">
        <v>175</v>
      </c>
      <c r="D80" s="246"/>
      <c r="E80" s="246"/>
      <c r="F80" s="245"/>
      <c r="G80" s="245" t="s">
        <v>149</v>
      </c>
      <c r="H80" s="244"/>
      <c r="I80" s="244"/>
      <c r="J80" s="245" t="s">
        <v>186</v>
      </c>
      <c r="K80" s="245"/>
      <c r="L80" s="134">
        <f>[1]Планки!H80</f>
        <v>92</v>
      </c>
      <c r="M80" s="134">
        <f>[1]Планки!I80</f>
        <v>1015</v>
      </c>
      <c r="N80" s="134">
        <f>[1]Планки!J80</f>
        <v>175</v>
      </c>
      <c r="O80" s="224">
        <f>[1]Планки!K80</f>
        <v>840</v>
      </c>
      <c r="P80" s="224">
        <f>[1]Планки!L80</f>
        <v>250</v>
      </c>
      <c r="Q80" s="134">
        <f>[1]Планки!M80</f>
        <v>260</v>
      </c>
      <c r="R80" s="134">
        <f>[1]Планки!N80</f>
        <v>310</v>
      </c>
      <c r="S80" s="224">
        <f>[1]Планки!O80</f>
        <v>41</v>
      </c>
      <c r="T80" s="134">
        <f>[1]Планки!P80</f>
        <v>50</v>
      </c>
      <c r="U80" s="134">
        <f>[1]Планки!Q80</f>
        <v>120</v>
      </c>
      <c r="V80" s="134" t="str">
        <f>[1]Планки!R80</f>
        <v>модель нашита  (L4=36 L5=40 L6=110)</v>
      </c>
      <c r="AB80" s="253">
        <f t="shared" ref="AB80:AB143" si="0">IF(MAX(AC80:AC1157)&lt;ROW(2:2),"",VLOOKUP(ROW(2:2),AC80:AD1157,2))</f>
        <v>87.5</v>
      </c>
      <c r="AC80" s="254" t="str">
        <f>IF(COUNTIF(AD$78:AD80,AD80)=1,MAX(AC$78:AC79)+1,"")</f>
        <v/>
      </c>
      <c r="AD80" s="215">
        <f>'[2]Изложницы без бурта'!B80</f>
        <v>85</v>
      </c>
      <c r="AE80" s="215">
        <f>'[2]Изложницы без бурта'!C80</f>
        <v>245</v>
      </c>
      <c r="AF80" s="56">
        <f>'[2]Изложницы без бурта'!D80</f>
        <v>140</v>
      </c>
      <c r="AG80" s="56">
        <f>'[2]Изложницы без бурта'!E80</f>
        <v>115</v>
      </c>
      <c r="AH80" s="56" t="str">
        <f>'[2]Изложницы без бурта'!F80</f>
        <v>72.11867 - 11</v>
      </c>
      <c r="AI80" s="56">
        <f>'[2]Изложницы без бурта'!G80</f>
        <v>0</v>
      </c>
      <c r="AJ80" s="56">
        <f>'[2]Изложницы без бурта'!H80</f>
        <v>0</v>
      </c>
      <c r="AK80" s="56">
        <f>'[2]Изложницы без бурта'!I80</f>
        <v>0</v>
      </c>
      <c r="AL80" s="56" t="s">
        <v>562</v>
      </c>
      <c r="AM80" s="56">
        <f>'[2]Изложницы без бурта'!K80</f>
        <v>0</v>
      </c>
      <c r="AR80" s="378">
        <v>358</v>
      </c>
      <c r="AS80" s="378">
        <v>280</v>
      </c>
      <c r="AT80" s="378">
        <v>420</v>
      </c>
      <c r="AU80" s="378">
        <v>360</v>
      </c>
      <c r="AV80" s="378"/>
      <c r="AW80" s="378">
        <v>450</v>
      </c>
      <c r="AX80" s="384" t="s">
        <v>506</v>
      </c>
    </row>
    <row r="81" spans="1:50" ht="14.4" x14ac:dyDescent="0.25">
      <c r="A81" s="252"/>
      <c r="B81" s="251" t="s">
        <v>176</v>
      </c>
      <c r="C81" s="244" t="s">
        <v>150</v>
      </c>
      <c r="D81" s="244" t="s">
        <v>151</v>
      </c>
      <c r="E81" s="244" t="s">
        <v>152</v>
      </c>
      <c r="F81" s="245" t="s">
        <v>177</v>
      </c>
      <c r="G81" s="245" t="s">
        <v>178</v>
      </c>
      <c r="H81" s="246" t="s">
        <v>179</v>
      </c>
      <c r="I81" s="246" t="s">
        <v>180</v>
      </c>
      <c r="J81" s="245" t="s">
        <v>187</v>
      </c>
      <c r="K81" s="246" t="s">
        <v>188</v>
      </c>
      <c r="L81" s="134">
        <f>[1]Планки!H81</f>
        <v>105</v>
      </c>
      <c r="M81" s="134">
        <f>[1]Планки!I81</f>
        <v>990</v>
      </c>
      <c r="N81" s="134">
        <f>[1]Планки!J81</f>
        <v>150</v>
      </c>
      <c r="O81" s="224">
        <f>[1]Планки!K81</f>
        <v>840</v>
      </c>
      <c r="P81" s="224">
        <f>[1]Планки!L81</f>
        <v>270</v>
      </c>
      <c r="Q81" s="134">
        <f>[1]Планки!M81</f>
        <v>290</v>
      </c>
      <c r="R81" s="134">
        <f>[1]Планки!N81</f>
        <v>320</v>
      </c>
      <c r="S81" s="224">
        <f>[1]Планки!O81</f>
        <v>32</v>
      </c>
      <c r="T81" s="134">
        <f>[1]Планки!P81</f>
        <v>40</v>
      </c>
      <c r="U81" s="134">
        <f>[1]Планки!Q81</f>
        <v>100</v>
      </c>
      <c r="V81" s="134">
        <f>[1]Планки!R81</f>
        <v>0</v>
      </c>
      <c r="AB81" s="253">
        <f t="shared" si="0"/>
        <v>90</v>
      </c>
      <c r="AC81" s="254" t="str">
        <f>IF(COUNTIF(AD$78:AD81,AD81)=1,MAX(AC$78:AC80)+1,"")</f>
        <v/>
      </c>
      <c r="AD81" s="215">
        <f>'[2]Изложницы без бурта'!B81</f>
        <v>85</v>
      </c>
      <c r="AE81" s="215">
        <f>'[2]Изложницы без бурта'!C81</f>
        <v>240</v>
      </c>
      <c r="AF81" s="56">
        <f>'[2]Изложницы без бурта'!D81</f>
        <v>140</v>
      </c>
      <c r="AG81" s="56">
        <f>'[2]Изложницы без бурта'!E81</f>
        <v>115</v>
      </c>
      <c r="AH81" s="56" t="str">
        <f>'[2]Изложницы без бурта'!F81</f>
        <v>72.11867 - 11</v>
      </c>
      <c r="AI81" s="56">
        <f>'[2]Изложницы без бурта'!G81</f>
        <v>0</v>
      </c>
      <c r="AJ81" s="56">
        <f>'[2]Изложницы без бурта'!H81</f>
        <v>0</v>
      </c>
      <c r="AK81" s="56">
        <f>'[2]Изложницы без бурта'!I81</f>
        <v>0</v>
      </c>
      <c r="AL81" s="56" t="s">
        <v>562</v>
      </c>
      <c r="AM81" s="56">
        <f>'[2]Изложницы без бурта'!K81</f>
        <v>0</v>
      </c>
      <c r="AR81" s="359">
        <v>308</v>
      </c>
      <c r="AS81" s="359">
        <v>275</v>
      </c>
      <c r="AT81" s="359">
        <v>258</v>
      </c>
      <c r="AU81" s="359">
        <v>198</v>
      </c>
      <c r="AV81" s="359">
        <v>375</v>
      </c>
      <c r="AW81" s="359">
        <v>450</v>
      </c>
      <c r="AX81" s="384" t="s">
        <v>507</v>
      </c>
    </row>
    <row r="82" spans="1:50" ht="14.4" x14ac:dyDescent="0.25">
      <c r="A82" s="252"/>
      <c r="L82" s="134">
        <f>[1]Планки!H82</f>
        <v>45</v>
      </c>
      <c r="M82" s="134">
        <f>[1]Планки!I82</f>
        <v>1015</v>
      </c>
      <c r="N82" s="134">
        <f>[1]Планки!J82</f>
        <v>170</v>
      </c>
      <c r="O82" s="224">
        <f>[1]Планки!K82</f>
        <v>845</v>
      </c>
      <c r="P82" s="224">
        <f>[1]Планки!L82</f>
        <v>170</v>
      </c>
      <c r="Q82" s="134">
        <f>[1]Планки!M82</f>
        <v>190</v>
      </c>
      <c r="R82" s="134">
        <f>[1]Планки!N82</f>
        <v>210</v>
      </c>
      <c r="S82" s="224">
        <f>[1]Планки!O82</f>
        <v>41</v>
      </c>
      <c r="T82" s="134">
        <f>[1]Планки!P82</f>
        <v>56</v>
      </c>
      <c r="U82" s="134">
        <f>[1]Планки!Q82</f>
        <v>125</v>
      </c>
      <c r="V82" s="134" t="str">
        <f>[1]Планки!R82</f>
        <v>модель нашита  (L4=36 L5=51 L6=120)</v>
      </c>
      <c r="AB82" s="253">
        <f t="shared" si="0"/>
        <v>92.5</v>
      </c>
      <c r="AC82" s="254" t="str">
        <f>IF(COUNTIF(AD$78:AD82,AD82)=1,MAX(AC$78:AC81)+1,"")</f>
        <v/>
      </c>
      <c r="AD82" s="215">
        <f>'[2]Изложницы без бурта'!B82</f>
        <v>85</v>
      </c>
      <c r="AE82" s="215">
        <f>'[2]Изложницы без бурта'!C82</f>
        <v>245</v>
      </c>
      <c r="AF82" s="56">
        <f>'[2]Изложницы без бурта'!D82</f>
        <v>140</v>
      </c>
      <c r="AG82" s="56">
        <f>'[2]Изложницы без бурта'!E82</f>
        <v>115</v>
      </c>
      <c r="AH82" s="56" t="str">
        <f>'[2]Изложницы без бурта'!F82</f>
        <v>72.11867 - 11</v>
      </c>
      <c r="AI82" s="56">
        <f>'[2]Изложницы без бурта'!G82</f>
        <v>0</v>
      </c>
      <c r="AJ82" s="56">
        <f>'[2]Изложницы без бурта'!H82</f>
        <v>0</v>
      </c>
      <c r="AK82" s="56">
        <f>'[2]Изложницы без бурта'!I82</f>
        <v>0</v>
      </c>
      <c r="AL82" s="56" t="s">
        <v>562</v>
      </c>
      <c r="AM82" s="56">
        <f>'[2]Изложницы без бурта'!K82</f>
        <v>0</v>
      </c>
      <c r="AR82" s="359">
        <v>306</v>
      </c>
      <c r="AS82" s="359">
        <v>277.5</v>
      </c>
      <c r="AT82" s="359">
        <v>260</v>
      </c>
      <c r="AU82" s="359">
        <v>220</v>
      </c>
      <c r="AV82" s="359">
        <v>375</v>
      </c>
      <c r="AW82" s="359">
        <v>450</v>
      </c>
      <c r="AX82" s="384" t="s">
        <v>508</v>
      </c>
    </row>
    <row r="83" spans="1:50" ht="15" thickBot="1" x14ac:dyDescent="0.3">
      <c r="A83" s="252" t="s">
        <v>194</v>
      </c>
      <c r="B83" s="241">
        <v>4</v>
      </c>
      <c r="C83" s="56">
        <v>50</v>
      </c>
      <c r="D83" s="56">
        <v>45</v>
      </c>
      <c r="E83" s="56">
        <v>40</v>
      </c>
      <c r="F83" s="56">
        <v>55</v>
      </c>
      <c r="G83" s="56">
        <v>55</v>
      </c>
      <c r="H83" s="56">
        <v>45</v>
      </c>
      <c r="I83" s="56">
        <v>50</v>
      </c>
      <c r="J83" s="56">
        <v>110</v>
      </c>
      <c r="K83" s="56">
        <v>90</v>
      </c>
      <c r="L83" s="134">
        <f>[1]Планки!H83</f>
        <v>111</v>
      </c>
      <c r="M83" s="134">
        <f>[1]Планки!I83</f>
        <v>1030</v>
      </c>
      <c r="N83" s="134">
        <f>[1]Планки!J83</f>
        <v>180</v>
      </c>
      <c r="O83" s="224">
        <f>[1]Планки!K83</f>
        <v>850</v>
      </c>
      <c r="P83" s="224">
        <f>[1]Планки!L83</f>
        <v>145</v>
      </c>
      <c r="Q83" s="134">
        <f>[1]Планки!M83</f>
        <v>165</v>
      </c>
      <c r="R83" s="134">
        <f>[1]Планки!N83</f>
        <v>200</v>
      </c>
      <c r="S83" s="224">
        <f>[1]Планки!O83</f>
        <v>50</v>
      </c>
      <c r="T83" s="134">
        <f>[1]Планки!P83</f>
        <v>70</v>
      </c>
      <c r="U83" s="134">
        <f>[1]Планки!Q83</f>
        <v>140</v>
      </c>
      <c r="V83" s="134" t="str">
        <f>[1]Планки!R83</f>
        <v>модель нашита  (L4=40 L5=55 L6=130)</v>
      </c>
      <c r="AB83" s="253">
        <f t="shared" si="0"/>
        <v>95</v>
      </c>
      <c r="AC83" s="254" t="str">
        <f>IF(COUNTIF(AD$78:AD83,AD83)=1,MAX(AC$78:AC82)+1,"")</f>
        <v/>
      </c>
      <c r="AD83" s="215">
        <f>'[2]Изложницы без бурта'!B83</f>
        <v>85</v>
      </c>
      <c r="AE83" s="215">
        <f>'[2]Изложницы без бурта'!C83</f>
        <v>245</v>
      </c>
      <c r="AF83" s="56">
        <f>'[2]Изложницы без бурта'!D83</f>
        <v>140</v>
      </c>
      <c r="AG83" s="56">
        <f>'[2]Изложницы без бурта'!E83</f>
        <v>115</v>
      </c>
      <c r="AH83" s="56" t="str">
        <f>'[2]Изложницы без бурта'!F83</f>
        <v>72.11867 - 11</v>
      </c>
      <c r="AI83" s="56">
        <f>'[2]Изложницы без бурта'!G83</f>
        <v>0</v>
      </c>
      <c r="AJ83" s="56">
        <f>'[2]Изложницы без бурта'!H83</f>
        <v>0</v>
      </c>
      <c r="AK83" s="56">
        <f>'[2]Изложницы без бурта'!I83</f>
        <v>0</v>
      </c>
      <c r="AL83" s="56" t="s">
        <v>562</v>
      </c>
      <c r="AM83" s="56">
        <f>'[2]Изложницы без бурта'!K83</f>
        <v>0</v>
      </c>
      <c r="AR83" s="359">
        <v>350</v>
      </c>
      <c r="AS83" s="359">
        <v>277.5</v>
      </c>
      <c r="AT83" s="359">
        <v>420</v>
      </c>
      <c r="AU83" s="360">
        <v>340</v>
      </c>
      <c r="AV83" s="359">
        <v>415</v>
      </c>
      <c r="AW83" s="359">
        <v>400</v>
      </c>
      <c r="AX83" s="384" t="s">
        <v>509</v>
      </c>
    </row>
    <row r="84" spans="1:50" ht="15" thickBot="1" x14ac:dyDescent="0.3">
      <c r="A84" s="252" t="s">
        <v>195</v>
      </c>
      <c r="B84" s="241">
        <v>4</v>
      </c>
      <c r="C84" s="56">
        <v>55</v>
      </c>
      <c r="D84" s="56">
        <v>45</v>
      </c>
      <c r="E84" s="56">
        <v>45</v>
      </c>
      <c r="F84" s="56">
        <v>60</v>
      </c>
      <c r="G84" s="56">
        <v>55</v>
      </c>
      <c r="H84" s="56">
        <v>50</v>
      </c>
      <c r="I84" s="56">
        <v>55</v>
      </c>
      <c r="J84" s="56">
        <v>110</v>
      </c>
      <c r="K84" s="56">
        <v>90</v>
      </c>
      <c r="L84" s="134">
        <f>[1]Планки!H84</f>
        <v>58</v>
      </c>
      <c r="M84" s="134">
        <f>[1]Планки!I84</f>
        <v>1030</v>
      </c>
      <c r="N84" s="134">
        <f>[1]Планки!J84</f>
        <v>180</v>
      </c>
      <c r="O84" s="224">
        <f>[1]Планки!K84</f>
        <v>850</v>
      </c>
      <c r="P84" s="224">
        <f>[1]Планки!L84</f>
        <v>145</v>
      </c>
      <c r="Q84" s="134">
        <f>[1]Планки!M84</f>
        <v>162</v>
      </c>
      <c r="R84" s="134">
        <f>[1]Планки!N84</f>
        <v>200</v>
      </c>
      <c r="S84" s="224">
        <f>[1]Планки!O84</f>
        <v>90</v>
      </c>
      <c r="T84" s="134">
        <f>[1]Планки!P84</f>
        <v>105</v>
      </c>
      <c r="U84" s="134">
        <f>[1]Планки!Q84</f>
        <v>180</v>
      </c>
      <c r="V84" s="134" t="str">
        <f>[1]Планки!R84</f>
        <v>модель нашита  (L4=40 L5=60 L6=120)</v>
      </c>
      <c r="AB84" s="253">
        <f t="shared" si="0"/>
        <v>100</v>
      </c>
      <c r="AC84" s="254" t="str">
        <f>IF(COUNTIF(AD$78:AD84,AD84)=1,MAX(AC$78:AC83)+1,"")</f>
        <v/>
      </c>
      <c r="AD84" s="215">
        <f>'[2]Изложницы без бурта'!B84</f>
        <v>85</v>
      </c>
      <c r="AE84" s="215">
        <f>'[2]Изложницы без бурта'!C84</f>
        <v>245</v>
      </c>
      <c r="AF84" s="56">
        <f>'[2]Изложницы без бурта'!D84</f>
        <v>140</v>
      </c>
      <c r="AG84" s="56">
        <f>'[2]Изложницы без бурта'!E84</f>
        <v>115</v>
      </c>
      <c r="AH84" s="56" t="str">
        <f>'[2]Изложницы без бурта'!F84</f>
        <v>72.11867 - 11</v>
      </c>
      <c r="AI84" s="56">
        <f>'[2]Изложницы без бурта'!G84</f>
        <v>0</v>
      </c>
      <c r="AJ84" s="56">
        <f>'[2]Изложницы без бурта'!H84</f>
        <v>0</v>
      </c>
      <c r="AK84" s="56">
        <f>'[2]Изложницы без бурта'!I84</f>
        <v>0</v>
      </c>
      <c r="AL84" s="56" t="s">
        <v>562</v>
      </c>
      <c r="AM84" s="56">
        <f>'[2]Изложницы без бурта'!K84</f>
        <v>0</v>
      </c>
      <c r="AR84" s="359">
        <v>305</v>
      </c>
      <c r="AS84" s="359">
        <v>277.5</v>
      </c>
      <c r="AT84" s="366">
        <v>257</v>
      </c>
      <c r="AU84" s="367">
        <v>200</v>
      </c>
      <c r="AV84" s="359">
        <v>375</v>
      </c>
      <c r="AW84" s="359">
        <v>450</v>
      </c>
      <c r="AX84" s="384" t="s">
        <v>508</v>
      </c>
    </row>
    <row r="85" spans="1:50" ht="14.4" x14ac:dyDescent="0.25">
      <c r="A85" s="252" t="s">
        <v>196</v>
      </c>
      <c r="B85" s="241">
        <v>4</v>
      </c>
      <c r="C85" s="56">
        <v>55</v>
      </c>
      <c r="D85" s="56">
        <v>50</v>
      </c>
      <c r="E85" s="56">
        <v>50</v>
      </c>
      <c r="F85" s="56">
        <v>65</v>
      </c>
      <c r="G85" s="56">
        <v>65</v>
      </c>
      <c r="H85" s="56">
        <v>50</v>
      </c>
      <c r="I85" s="56">
        <v>60</v>
      </c>
      <c r="J85" s="56">
        <v>120</v>
      </c>
      <c r="K85" s="56">
        <v>100</v>
      </c>
      <c r="L85" s="134">
        <f>[1]Планки!H85</f>
        <v>70</v>
      </c>
      <c r="M85" s="134">
        <f>[1]Планки!I85</f>
        <v>980</v>
      </c>
      <c r="N85" s="134">
        <f>[1]Планки!J85</f>
        <v>130</v>
      </c>
      <c r="O85" s="224">
        <f>[1]Планки!K85</f>
        <v>850</v>
      </c>
      <c r="P85" s="224">
        <f>[1]Планки!L85</f>
        <v>180</v>
      </c>
      <c r="Q85" s="134">
        <f>[1]Планки!M85</f>
        <v>196</v>
      </c>
      <c r="R85" s="134">
        <f>[1]Планки!N85</f>
        <v>230</v>
      </c>
      <c r="S85" s="224">
        <f>[1]Планки!O85</f>
        <v>30</v>
      </c>
      <c r="T85" s="134">
        <f>[1]Планки!P85</f>
        <v>35</v>
      </c>
      <c r="U85" s="134">
        <f>[1]Планки!Q85</f>
        <v>85</v>
      </c>
      <c r="V85" s="134">
        <f>[1]Планки!R85</f>
        <v>0</v>
      </c>
      <c r="AB85" s="253">
        <f t="shared" si="0"/>
        <v>102.5</v>
      </c>
      <c r="AC85" s="254" t="str">
        <f>IF(COUNTIF(AD$78:AD85,AD85)=1,MAX(AC$78:AC84)+1,"")</f>
        <v/>
      </c>
      <c r="AD85" s="215">
        <f>'[2]Изложницы без бурта'!B85</f>
        <v>85</v>
      </c>
      <c r="AE85" s="215">
        <f>'[2]Изложницы без бурта'!C85</f>
        <v>243</v>
      </c>
      <c r="AF85" s="56">
        <f>'[2]Изложницы без бурта'!D85</f>
        <v>140</v>
      </c>
      <c r="AG85" s="56">
        <f>'[2]Изложницы без бурта'!E85</f>
        <v>115</v>
      </c>
      <c r="AH85" s="56" t="str">
        <f>'[2]Изложницы без бурта'!F85</f>
        <v>72.11867 - 11</v>
      </c>
      <c r="AI85" s="56">
        <f>'[2]Изложницы без бурта'!G85</f>
        <v>0</v>
      </c>
      <c r="AJ85" s="56">
        <f>'[2]Изложницы без бурта'!H85</f>
        <v>0</v>
      </c>
      <c r="AK85" s="56">
        <f>'[2]Изложницы без бурта'!I85</f>
        <v>0</v>
      </c>
      <c r="AL85" s="56" t="s">
        <v>562</v>
      </c>
      <c r="AM85" s="56">
        <f>'[2]Изложницы без бурта'!K85</f>
        <v>0</v>
      </c>
      <c r="AR85" s="359">
        <v>299</v>
      </c>
      <c r="AS85" s="359">
        <v>277.5</v>
      </c>
      <c r="AT85" s="359">
        <v>260</v>
      </c>
      <c r="AU85" s="358">
        <v>210</v>
      </c>
      <c r="AV85" s="359">
        <v>375</v>
      </c>
      <c r="AW85" s="359">
        <v>450</v>
      </c>
      <c r="AX85" s="384" t="s">
        <v>508</v>
      </c>
    </row>
    <row r="86" spans="1:50" ht="14.4" x14ac:dyDescent="0.25">
      <c r="A86" s="252" t="s">
        <v>197</v>
      </c>
      <c r="B86" s="241">
        <v>4</v>
      </c>
      <c r="C86" s="56">
        <v>60</v>
      </c>
      <c r="D86" s="56">
        <v>50</v>
      </c>
      <c r="E86" s="56">
        <v>55</v>
      </c>
      <c r="F86" s="56">
        <v>70</v>
      </c>
      <c r="G86" s="56">
        <v>65</v>
      </c>
      <c r="H86" s="56">
        <v>55</v>
      </c>
      <c r="I86" s="56">
        <v>65</v>
      </c>
      <c r="J86" s="56">
        <v>120</v>
      </c>
      <c r="K86" s="56">
        <v>100</v>
      </c>
      <c r="L86" s="134">
        <f>[1]Планки!H86</f>
        <v>99</v>
      </c>
      <c r="M86" s="134">
        <f>[1]Планки!I86</f>
        <v>1150</v>
      </c>
      <c r="N86" s="134">
        <f>[1]Планки!J86</f>
        <v>300</v>
      </c>
      <c r="O86" s="224">
        <f>[1]Планки!K86</f>
        <v>850</v>
      </c>
      <c r="P86" s="224">
        <f>[1]Планки!L86</f>
        <v>185</v>
      </c>
      <c r="Q86" s="134">
        <f>[1]Планки!M86</f>
        <v>195</v>
      </c>
      <c r="R86" s="134">
        <f>[1]Планки!N86</f>
        <v>250</v>
      </c>
      <c r="S86" s="224">
        <f>[1]Планки!O86</f>
        <v>110</v>
      </c>
      <c r="T86" s="134">
        <f>[1]Планки!P86</f>
        <v>120</v>
      </c>
      <c r="U86" s="134">
        <f>[1]Планки!Q86</f>
        <v>220</v>
      </c>
      <c r="V86" s="134" t="str">
        <f>[1]Планки!R86</f>
        <v>модель нашита  (L4=72 L5=88 L6=110)</v>
      </c>
      <c r="AB86" s="253">
        <f t="shared" si="0"/>
        <v>105</v>
      </c>
      <c r="AC86" s="254" t="str">
        <f>IF(COUNTIF(AD$78:AD86,AD86)=1,MAX(AC$78:AC85)+1,"")</f>
        <v/>
      </c>
      <c r="AD86" s="215">
        <f>'[2]Изложницы без бурта'!B86</f>
        <v>85</v>
      </c>
      <c r="AE86" s="215">
        <f>'[2]Изложницы без бурта'!C86</f>
        <v>240</v>
      </c>
      <c r="AF86" s="56">
        <f>'[2]Изложницы без бурта'!D86</f>
        <v>140</v>
      </c>
      <c r="AG86" s="56">
        <f>'[2]Изложницы без бурта'!E86</f>
        <v>115</v>
      </c>
      <c r="AH86" s="56" t="str">
        <f>'[2]Изложницы без бурта'!F86</f>
        <v>72.11867 - 11</v>
      </c>
      <c r="AI86" s="56">
        <f>'[2]Изложницы без бурта'!G86</f>
        <v>0</v>
      </c>
      <c r="AJ86" s="56">
        <f>'[2]Изложницы без бурта'!H86</f>
        <v>0</v>
      </c>
      <c r="AK86" s="56">
        <f>'[2]Изложницы без бурта'!I86</f>
        <v>0</v>
      </c>
      <c r="AL86" s="56" t="s">
        <v>562</v>
      </c>
      <c r="AM86" s="56">
        <f>'[2]Изложницы без бурта'!K86</f>
        <v>0</v>
      </c>
      <c r="AR86" s="359">
        <v>310</v>
      </c>
      <c r="AS86" s="359">
        <v>280</v>
      </c>
      <c r="AT86" s="359">
        <v>200</v>
      </c>
      <c r="AU86" s="359">
        <v>130</v>
      </c>
      <c r="AV86" s="359">
        <v>375</v>
      </c>
      <c r="AW86" s="359">
        <v>450</v>
      </c>
      <c r="AX86" s="384" t="s">
        <v>533</v>
      </c>
    </row>
    <row r="87" spans="1:50" ht="15" thickBot="1" x14ac:dyDescent="0.3">
      <c r="A87" s="252" t="s">
        <v>198</v>
      </c>
      <c r="B87" s="241">
        <v>4</v>
      </c>
      <c r="C87" s="56">
        <v>60</v>
      </c>
      <c r="D87" s="56">
        <v>55</v>
      </c>
      <c r="E87" s="56">
        <v>60</v>
      </c>
      <c r="F87" s="56">
        <v>75</v>
      </c>
      <c r="G87" s="56">
        <v>70</v>
      </c>
      <c r="H87" s="56">
        <v>60</v>
      </c>
      <c r="I87" s="56">
        <v>70</v>
      </c>
      <c r="J87" s="56">
        <v>120</v>
      </c>
      <c r="K87" s="56">
        <v>100</v>
      </c>
      <c r="L87" s="134">
        <f>[1]Планки!H87</f>
        <v>106</v>
      </c>
      <c r="M87" s="134">
        <f>[1]Планки!I87</f>
        <v>1005</v>
      </c>
      <c r="N87" s="134">
        <f>[1]Планки!J87</f>
        <v>150</v>
      </c>
      <c r="O87" s="224">
        <f>[1]Планки!K87</f>
        <v>855</v>
      </c>
      <c r="P87" s="224">
        <f>[1]Планки!L87</f>
        <v>280</v>
      </c>
      <c r="Q87" s="134">
        <f>[1]Планки!M87</f>
        <v>290</v>
      </c>
      <c r="R87" s="134">
        <f>[1]Планки!N87</f>
        <v>330</v>
      </c>
      <c r="S87" s="224">
        <f>[1]Планки!O87</f>
        <v>33</v>
      </c>
      <c r="T87" s="134">
        <f>[1]Планки!P87</f>
        <v>45</v>
      </c>
      <c r="U87" s="134">
        <f>[1]Планки!Q87</f>
        <v>110</v>
      </c>
      <c r="V87" s="134">
        <f>[1]Планки!R87</f>
        <v>0</v>
      </c>
      <c r="AB87" s="253">
        <f t="shared" si="0"/>
        <v>107.5</v>
      </c>
      <c r="AC87" s="254" t="str">
        <f>IF(COUNTIF(AD$78:AD87,AD87)=1,MAX(AC$78:AC86)+1,"")</f>
        <v/>
      </c>
      <c r="AD87" s="215">
        <f>'[2]Изложницы без бурта'!B87</f>
        <v>85</v>
      </c>
      <c r="AE87" s="215">
        <f>'[2]Изложницы без бурта'!C87</f>
        <v>240</v>
      </c>
      <c r="AF87" s="56">
        <f>'[2]Изложницы без бурта'!D87</f>
        <v>140</v>
      </c>
      <c r="AG87" s="56">
        <f>'[2]Изложницы без бурта'!E87</f>
        <v>115</v>
      </c>
      <c r="AH87" s="56" t="str">
        <f>'[2]Изложницы без бурта'!F87</f>
        <v>72.11867 - 11</v>
      </c>
      <c r="AI87" s="56">
        <f>'[2]Изложницы без бурта'!G87</f>
        <v>0</v>
      </c>
      <c r="AJ87" s="56">
        <f>'[2]Изложницы без бурта'!H87</f>
        <v>0</v>
      </c>
      <c r="AK87" s="56">
        <f>'[2]Изложницы без бурта'!I87</f>
        <v>0</v>
      </c>
      <c r="AL87" s="56" t="s">
        <v>562</v>
      </c>
      <c r="AM87" s="56">
        <f>'[2]Изложницы без бурта'!K87</f>
        <v>0</v>
      </c>
      <c r="AR87" s="359">
        <v>313</v>
      </c>
      <c r="AS87" s="359">
        <v>280</v>
      </c>
      <c r="AT87" s="359">
        <v>200</v>
      </c>
      <c r="AU87" s="360">
        <v>135</v>
      </c>
      <c r="AV87" s="359">
        <v>375</v>
      </c>
      <c r="AW87" s="359">
        <v>450</v>
      </c>
      <c r="AX87" s="384" t="s">
        <v>533</v>
      </c>
    </row>
    <row r="88" spans="1:50" ht="15" thickBot="1" x14ac:dyDescent="0.3">
      <c r="L88" s="134">
        <f>[1]Планки!H88</f>
        <v>110</v>
      </c>
      <c r="M88" s="134">
        <f>[1]Планки!I88</f>
        <v>1030</v>
      </c>
      <c r="N88" s="134">
        <f>[1]Планки!J88</f>
        <v>170</v>
      </c>
      <c r="O88" s="224">
        <f>[1]Планки!K88</f>
        <v>860</v>
      </c>
      <c r="P88" s="224">
        <f>[1]Планки!L88</f>
        <v>143</v>
      </c>
      <c r="Q88" s="134">
        <f>[1]Планки!M88</f>
        <v>163</v>
      </c>
      <c r="R88" s="134">
        <f>[1]Планки!N88</f>
        <v>200</v>
      </c>
      <c r="S88" s="224">
        <f>[1]Планки!O88</f>
        <v>37</v>
      </c>
      <c r="T88" s="134">
        <f>[1]Планки!P88</f>
        <v>57</v>
      </c>
      <c r="U88" s="134">
        <f>[1]Планки!Q88</f>
        <v>130</v>
      </c>
      <c r="V88" s="134">
        <f>[1]Планки!R88</f>
        <v>0</v>
      </c>
      <c r="AB88" s="253">
        <f t="shared" si="0"/>
        <v>110</v>
      </c>
      <c r="AC88" s="254" t="str">
        <f>IF(COUNTIF(AD$78:AD88,AD88)=1,MAX(AC$78:AC87)+1,"")</f>
        <v/>
      </c>
      <c r="AD88" s="215">
        <f>'[2]Изложницы без бурта'!B88</f>
        <v>85</v>
      </c>
      <c r="AE88" s="215">
        <f>'[2]Изложницы без бурта'!C88</f>
        <v>245</v>
      </c>
      <c r="AF88" s="56">
        <f>'[2]Изложницы без бурта'!D88</f>
        <v>140</v>
      </c>
      <c r="AG88" s="56">
        <f>'[2]Изложницы без бурта'!E88</f>
        <v>115</v>
      </c>
      <c r="AH88" s="56" t="str">
        <f>'[2]Изложницы без бурта'!F88</f>
        <v>72.11867 - 11</v>
      </c>
      <c r="AI88" s="56">
        <f>'[2]Изложницы без бурта'!G88</f>
        <v>0</v>
      </c>
      <c r="AJ88" s="56">
        <f>'[2]Изложницы без бурта'!H88</f>
        <v>0</v>
      </c>
      <c r="AK88" s="56">
        <f>'[2]Изложницы без бурта'!I88</f>
        <v>0</v>
      </c>
      <c r="AL88" s="56" t="s">
        <v>562</v>
      </c>
      <c r="AM88" s="56">
        <f>'[2]Изложницы без бурта'!K88</f>
        <v>0</v>
      </c>
      <c r="AR88" s="359">
        <v>315</v>
      </c>
      <c r="AS88" s="359">
        <v>285</v>
      </c>
      <c r="AT88" s="366">
        <v>378</v>
      </c>
      <c r="AU88" s="367">
        <v>275</v>
      </c>
      <c r="AV88" s="359">
        <v>375</v>
      </c>
      <c r="AW88" s="359">
        <v>450</v>
      </c>
      <c r="AX88" s="384" t="s">
        <v>510</v>
      </c>
    </row>
    <row r="89" spans="1:50" ht="16.2" thickBot="1" x14ac:dyDescent="0.35">
      <c r="A89" s="56" t="s">
        <v>199</v>
      </c>
      <c r="B89" s="255"/>
      <c r="C89" s="255"/>
      <c r="D89" s="255"/>
      <c r="E89" s="256"/>
      <c r="J89" s="357" t="s">
        <v>455</v>
      </c>
      <c r="L89" s="134">
        <f>[1]Планки!H89</f>
        <v>82</v>
      </c>
      <c r="M89" s="134">
        <f>[1]Планки!I89</f>
        <v>1020</v>
      </c>
      <c r="N89" s="134">
        <f>[1]Планки!J89</f>
        <v>160</v>
      </c>
      <c r="O89" s="224">
        <f>[1]Планки!K89</f>
        <v>860</v>
      </c>
      <c r="P89" s="224">
        <f>[1]Планки!L89</f>
        <v>330</v>
      </c>
      <c r="Q89" s="134">
        <f>[1]Планки!M89</f>
        <v>345</v>
      </c>
      <c r="R89" s="134">
        <f>[1]Планки!N89</f>
        <v>375</v>
      </c>
      <c r="S89" s="224">
        <f>[1]Планки!O89</f>
        <v>34</v>
      </c>
      <c r="T89" s="134">
        <f>[1]Планки!P89</f>
        <v>45</v>
      </c>
      <c r="U89" s="134">
        <f>[1]Планки!Q89</f>
        <v>105</v>
      </c>
      <c r="V89" s="134">
        <f>[1]Планки!R89</f>
        <v>0</v>
      </c>
      <c r="AB89" s="253">
        <f t="shared" ref="AB89:AB97" si="1">IF(MAX(AC89:AC1166)&lt;ROW(11:11),"",VLOOKUP(ROW(11:11),AC89:AD1166,2))</f>
        <v>112.5</v>
      </c>
      <c r="AC89" s="254">
        <f>IF(COUNTIF(AD$78:AD89,AD89)=1,MAX(AC$78:AC88)+1,"")</f>
        <v>2</v>
      </c>
      <c r="AD89" s="215">
        <f>'[2]Изложницы без бурта'!B89</f>
        <v>87.5</v>
      </c>
      <c r="AE89" s="215">
        <f>'[2]Изложницы без бурта'!C89</f>
        <v>245</v>
      </c>
      <c r="AF89" s="56">
        <f>'[2]Изложницы без бурта'!D89</f>
        <v>140</v>
      </c>
      <c r="AG89" s="56">
        <f>'[2]Изложницы без бурта'!E89</f>
        <v>115</v>
      </c>
      <c r="AH89" s="56" t="str">
        <f>'[2]Изложницы без бурта'!F89</f>
        <v>72.11867 - 12</v>
      </c>
      <c r="AI89" s="56">
        <f>'[2]Изложницы без бурта'!G89</f>
        <v>0</v>
      </c>
      <c r="AJ89" s="56">
        <f>'[2]Изложницы без бурта'!H89</f>
        <v>0</v>
      </c>
      <c r="AK89" s="56">
        <f>'[2]Изложницы без бурта'!I89</f>
        <v>0</v>
      </c>
      <c r="AL89" s="56" t="s">
        <v>563</v>
      </c>
      <c r="AM89" s="56">
        <f>'[2]Изложницы без бурта'!K89</f>
        <v>0</v>
      </c>
      <c r="AR89" s="359">
        <v>313</v>
      </c>
      <c r="AS89" s="359">
        <v>285</v>
      </c>
      <c r="AT89" s="359">
        <v>380</v>
      </c>
      <c r="AU89" s="358">
        <v>320</v>
      </c>
      <c r="AV89" s="359">
        <v>375</v>
      </c>
      <c r="AW89" s="359">
        <v>450</v>
      </c>
      <c r="AX89" s="384" t="s">
        <v>510</v>
      </c>
    </row>
    <row r="90" spans="1:50" ht="15.6" x14ac:dyDescent="0.3">
      <c r="A90" s="257" t="s">
        <v>200</v>
      </c>
      <c r="B90" s="258"/>
      <c r="C90" s="259" t="s">
        <v>201</v>
      </c>
      <c r="D90" s="258"/>
      <c r="E90" s="259" t="s">
        <v>149</v>
      </c>
      <c r="F90" s="260"/>
      <c r="G90" s="258"/>
      <c r="H90" s="261" t="s">
        <v>202</v>
      </c>
      <c r="I90" s="262"/>
      <c r="J90" s="357">
        <v>45</v>
      </c>
      <c r="L90" s="134">
        <f>[1]Планки!H90</f>
        <v>137</v>
      </c>
      <c r="M90" s="134">
        <f>[1]Планки!I90</f>
        <v>1035</v>
      </c>
      <c r="N90" s="134">
        <f>[1]Планки!J90</f>
        <v>175</v>
      </c>
      <c r="O90" s="224">
        <f>[1]Планки!K90</f>
        <v>860</v>
      </c>
      <c r="P90" s="224">
        <f>[1]Планки!L90</f>
        <v>395</v>
      </c>
      <c r="Q90" s="134">
        <f>[1]Планки!M90</f>
        <v>405</v>
      </c>
      <c r="R90" s="134">
        <f>[1]Планки!N90</f>
        <v>445</v>
      </c>
      <c r="S90" s="224">
        <f>[1]Планки!O90</f>
        <v>70</v>
      </c>
      <c r="T90" s="134">
        <f>[1]Планки!P90</f>
        <v>80</v>
      </c>
      <c r="U90" s="134">
        <f>[1]Планки!Q90</f>
        <v>150</v>
      </c>
      <c r="V90" s="134" t="str">
        <f>[1]Планки!R90</f>
        <v>модель нашита  (L4=35 L5=45 L6=120)</v>
      </c>
      <c r="AB90" s="253">
        <f t="shared" si="1"/>
        <v>115</v>
      </c>
      <c r="AC90" s="254" t="str">
        <f>IF(COUNTIF(AD$78:AD90,AD90)=1,MAX(AC$78:AC89)+1,"")</f>
        <v/>
      </c>
      <c r="AD90" s="215">
        <f>'[2]Изложницы без бурта'!B90</f>
        <v>87.5</v>
      </c>
      <c r="AE90" s="215">
        <f>'[2]Изложницы без бурта'!C90</f>
        <v>245</v>
      </c>
      <c r="AF90" s="56">
        <f>'[2]Изложницы без бурта'!D90</f>
        <v>140</v>
      </c>
      <c r="AG90" s="56">
        <f>'[2]Изложницы без бурта'!E90</f>
        <v>115</v>
      </c>
      <c r="AH90" s="56" t="str">
        <f>'[2]Изложницы без бурта'!F90</f>
        <v>72.11867 - 12</v>
      </c>
      <c r="AI90" s="56">
        <f>'[2]Изложницы без бурта'!G90</f>
        <v>0</v>
      </c>
      <c r="AJ90" s="56">
        <f>'[2]Изложницы без бурта'!H90</f>
        <v>0</v>
      </c>
      <c r="AK90" s="56">
        <f>'[2]Изложницы без бурта'!I90</f>
        <v>0</v>
      </c>
      <c r="AL90" s="56" t="s">
        <v>563</v>
      </c>
      <c r="AM90" s="56">
        <f>'[2]Изложницы без бурта'!K90</f>
        <v>0</v>
      </c>
      <c r="AR90" s="359" t="s">
        <v>465</v>
      </c>
      <c r="AS90" s="359" t="s">
        <v>466</v>
      </c>
      <c r="AT90" s="359">
        <v>205</v>
      </c>
      <c r="AU90" s="358" t="s">
        <v>467</v>
      </c>
      <c r="AV90" s="359">
        <v>410</v>
      </c>
      <c r="AW90" s="359">
        <v>425</v>
      </c>
      <c r="AX90" s="384" t="s">
        <v>561</v>
      </c>
    </row>
    <row r="91" spans="1:50" ht="15" x14ac:dyDescent="0.25">
      <c r="A91" s="263" t="s">
        <v>203</v>
      </c>
      <c r="B91" s="264"/>
      <c r="C91" s="265" t="s">
        <v>150</v>
      </c>
      <c r="D91" s="265"/>
      <c r="E91" s="265" t="s">
        <v>178</v>
      </c>
      <c r="F91" s="266"/>
      <c r="G91" s="265"/>
      <c r="H91" s="267"/>
      <c r="I91" s="134"/>
      <c r="J91" s="357">
        <v>50</v>
      </c>
      <c r="L91" s="134">
        <f>[1]Планки!H91</f>
        <v>93</v>
      </c>
      <c r="M91" s="134">
        <f>[1]Планки!I91</f>
        <v>1030</v>
      </c>
      <c r="N91" s="134">
        <f>[1]Планки!J91</f>
        <v>165</v>
      </c>
      <c r="O91" s="224">
        <f>[1]Планки!K91</f>
        <v>865</v>
      </c>
      <c r="P91" s="224">
        <f>[1]Планки!L91</f>
        <v>240</v>
      </c>
      <c r="Q91" s="134">
        <f>[1]Планки!M91</f>
        <v>256</v>
      </c>
      <c r="R91" s="134">
        <f>[1]Планки!N91</f>
        <v>295</v>
      </c>
      <c r="S91" s="224">
        <f>[1]Планки!O91</f>
        <v>38</v>
      </c>
      <c r="T91" s="134">
        <f>[1]Планки!P91</f>
        <v>48</v>
      </c>
      <c r="U91" s="134">
        <f>[1]Планки!Q91</f>
        <v>120</v>
      </c>
      <c r="V91" s="134">
        <f>[1]Планки!R91</f>
        <v>0</v>
      </c>
      <c r="AB91" s="253">
        <f t="shared" si="1"/>
        <v>117.5</v>
      </c>
      <c r="AC91" s="254" t="str">
        <f>IF(COUNTIF(AD$78:AD91,AD91)=1,MAX(AC$78:AC90)+1,"")</f>
        <v/>
      </c>
      <c r="AD91" s="215">
        <f>'[2]Изложницы без бурта'!B91</f>
        <v>87.5</v>
      </c>
      <c r="AE91" s="215">
        <f>'[2]Изложницы без бурта'!C91</f>
        <v>245</v>
      </c>
      <c r="AF91" s="56">
        <f>'[2]Изложницы без бурта'!D91</f>
        <v>140</v>
      </c>
      <c r="AG91" s="56">
        <f>'[2]Изложницы без бурта'!E91</f>
        <v>115</v>
      </c>
      <c r="AH91" s="56" t="str">
        <f>'[2]Изложницы без бурта'!F91</f>
        <v>72.11867 - 12</v>
      </c>
      <c r="AI91" s="56">
        <f>'[2]Изложницы без бурта'!G91</f>
        <v>0</v>
      </c>
      <c r="AJ91" s="56">
        <f>'[2]Изложницы без бурта'!H91</f>
        <v>0</v>
      </c>
      <c r="AK91" s="56">
        <f>'[2]Изложницы без бурта'!I91</f>
        <v>0</v>
      </c>
      <c r="AL91" s="56" t="s">
        <v>563</v>
      </c>
      <c r="AM91" s="56">
        <f>'[2]Изложницы без бурта'!K91</f>
        <v>0</v>
      </c>
      <c r="AR91" s="359">
        <v>355</v>
      </c>
      <c r="AS91" s="359">
        <v>295</v>
      </c>
      <c r="AT91" s="359">
        <v>517</v>
      </c>
      <c r="AU91" s="359">
        <v>450</v>
      </c>
      <c r="AV91" s="359">
        <v>470</v>
      </c>
      <c r="AW91" s="359">
        <v>400</v>
      </c>
      <c r="AX91" s="384" t="s">
        <v>511</v>
      </c>
    </row>
    <row r="92" spans="1:50" ht="15" x14ac:dyDescent="0.25">
      <c r="A92" s="268" t="e">
        <f>VLOOKUP(B30,A59:I66,6,FALSE)</f>
        <v>#N/A</v>
      </c>
      <c r="B92" s="269" t="e">
        <f>A92</f>
        <v>#N/A</v>
      </c>
      <c r="C92" s="270" t="e">
        <f>VLOOKUP(B30,A59:I66,3,FALSE)</f>
        <v>#N/A</v>
      </c>
      <c r="D92" s="266"/>
      <c r="E92" s="270" t="e">
        <f>VLOOKUP(B30,A59:I66,7,FALSE)</f>
        <v>#N/A</v>
      </c>
      <c r="F92" s="266"/>
      <c r="G92" s="265"/>
      <c r="H92" s="267"/>
      <c r="I92" s="134"/>
      <c r="J92" s="357">
        <v>55</v>
      </c>
      <c r="L92" s="134">
        <f>[1]Планки!H92</f>
        <v>73</v>
      </c>
      <c r="M92" s="134">
        <f>[1]Планки!I92</f>
        <v>1065</v>
      </c>
      <c r="N92" s="134">
        <f>[1]Планки!J92</f>
        <v>200</v>
      </c>
      <c r="O92" s="224">
        <f>[1]Планки!K92</f>
        <v>865</v>
      </c>
      <c r="P92" s="224">
        <f>[1]Планки!L92</f>
        <v>425</v>
      </c>
      <c r="Q92" s="134">
        <f>[1]Планки!M92</f>
        <v>435</v>
      </c>
      <c r="R92" s="134">
        <f>[1]Планки!N92</f>
        <v>490</v>
      </c>
      <c r="S92" s="224">
        <f>[1]Планки!O92</f>
        <v>49</v>
      </c>
      <c r="T92" s="134">
        <f>[1]Планки!P92</f>
        <v>54</v>
      </c>
      <c r="U92" s="134">
        <f>[1]Планки!Q92</f>
        <v>130</v>
      </c>
      <c r="V92" s="134">
        <f>[1]Планки!R92</f>
        <v>0</v>
      </c>
      <c r="AB92" s="253">
        <f t="shared" si="1"/>
        <v>120</v>
      </c>
      <c r="AC92" s="254">
        <f>IF(COUNTIF(AD$78:AD92,AD92)=1,MAX(AC$78:AC91)+1,"")</f>
        <v>3</v>
      </c>
      <c r="AD92" s="215">
        <f>'[2]Изложницы без бурта'!B92</f>
        <v>90</v>
      </c>
      <c r="AE92" s="215">
        <f>'[2]Изложницы без бурта'!C92</f>
        <v>240</v>
      </c>
      <c r="AF92" s="56">
        <f>'[2]Изложницы без бурта'!D92</f>
        <v>140</v>
      </c>
      <c r="AG92" s="56">
        <f>'[2]Изложницы без бурта'!E92</f>
        <v>115</v>
      </c>
      <c r="AH92" s="56" t="str">
        <f>'[2]Изложницы без бурта'!F92</f>
        <v>72.11867 - 13</v>
      </c>
      <c r="AI92" s="56">
        <f>'[2]Изложницы без бурта'!G92</f>
        <v>0</v>
      </c>
      <c r="AJ92" s="56">
        <f>'[2]Изложницы без бурта'!H92</f>
        <v>0</v>
      </c>
      <c r="AK92" s="56">
        <f>'[2]Изложницы без бурта'!I92</f>
        <v>0</v>
      </c>
      <c r="AL92" s="56" t="s">
        <v>564</v>
      </c>
      <c r="AM92" s="56">
        <f>'[2]Изложницы без бурта'!K92</f>
        <v>0</v>
      </c>
      <c r="AR92" s="359">
        <v>324</v>
      </c>
      <c r="AS92" s="359">
        <v>295</v>
      </c>
      <c r="AT92" s="359">
        <v>320</v>
      </c>
      <c r="AU92" s="359">
        <v>195</v>
      </c>
      <c r="AV92" s="359">
        <v>415</v>
      </c>
      <c r="AW92" s="359">
        <v>450</v>
      </c>
      <c r="AX92" s="384" t="s">
        <v>534</v>
      </c>
    </row>
    <row r="93" spans="1:50" ht="15" x14ac:dyDescent="0.25">
      <c r="A93" s="271"/>
      <c r="B93" s="264"/>
      <c r="C93" s="265" t="s">
        <v>151</v>
      </c>
      <c r="D93" s="265"/>
      <c r="E93" s="265" t="s">
        <v>179</v>
      </c>
      <c r="F93" s="266"/>
      <c r="G93" s="265"/>
      <c r="H93" s="267"/>
      <c r="I93" s="134"/>
      <c r="J93" s="357">
        <v>60</v>
      </c>
      <c r="L93" s="134">
        <f>[1]Планки!H93</f>
        <v>69</v>
      </c>
      <c r="M93" s="134">
        <f>[1]Планки!I93</f>
        <v>1000</v>
      </c>
      <c r="N93" s="134">
        <f>[1]Планки!J93</f>
        <v>130</v>
      </c>
      <c r="O93" s="224">
        <f>[1]Планки!K93</f>
        <v>870</v>
      </c>
      <c r="P93" s="224">
        <f>[1]Планки!L93</f>
        <v>283</v>
      </c>
      <c r="Q93" s="134">
        <f>[1]Планки!M93</f>
        <v>305</v>
      </c>
      <c r="R93" s="134">
        <f>[1]Планки!N93</f>
        <v>330</v>
      </c>
      <c r="S93" s="224">
        <f>[1]Планки!O93</f>
        <v>27</v>
      </c>
      <c r="T93" s="134">
        <f>[1]Планки!P93</f>
        <v>40</v>
      </c>
      <c r="U93" s="134">
        <f>[1]Планки!Q93</f>
        <v>100</v>
      </c>
      <c r="V93" s="134">
        <f>[1]Планки!R93</f>
        <v>0</v>
      </c>
      <c r="AB93" s="253">
        <f t="shared" si="1"/>
        <v>122.5</v>
      </c>
      <c r="AC93" s="254" t="str">
        <f>IF(COUNTIF(AD$78:AD93,AD93)=1,MAX(AC$78:AC92)+1,"")</f>
        <v/>
      </c>
      <c r="AD93" s="215">
        <f>'[2]Изложницы без бурта'!B93</f>
        <v>90</v>
      </c>
      <c r="AE93" s="215">
        <f>'[2]Изложницы без бурта'!C93</f>
        <v>243</v>
      </c>
      <c r="AF93" s="56">
        <f>'[2]Изложницы без бурта'!D93</f>
        <v>140</v>
      </c>
      <c r="AG93" s="56">
        <f>'[2]Изложницы без бурта'!E93</f>
        <v>115</v>
      </c>
      <c r="AH93" s="56" t="str">
        <f>'[2]Изложницы без бурта'!F93</f>
        <v>72.11867 - 13</v>
      </c>
      <c r="AI93" s="56">
        <f>'[2]Изложницы без бурта'!G93</f>
        <v>0</v>
      </c>
      <c r="AJ93" s="56">
        <f>'[2]Изложницы без бурта'!H93</f>
        <v>0</v>
      </c>
      <c r="AK93" s="56">
        <f>'[2]Изложницы без бурта'!I93</f>
        <v>0</v>
      </c>
      <c r="AL93" s="56" t="s">
        <v>564</v>
      </c>
      <c r="AM93" s="56">
        <f>'[2]Изложницы без бурта'!K93</f>
        <v>0</v>
      </c>
      <c r="AR93" s="359">
        <v>320</v>
      </c>
      <c r="AS93" s="359">
        <v>295</v>
      </c>
      <c r="AT93" s="359">
        <v>320</v>
      </c>
      <c r="AU93" s="359">
        <v>190</v>
      </c>
      <c r="AV93" s="359">
        <v>415</v>
      </c>
      <c r="AW93" s="359">
        <v>450</v>
      </c>
      <c r="AX93" s="384" t="s">
        <v>534</v>
      </c>
    </row>
    <row r="94" spans="1:50" ht="15.6" x14ac:dyDescent="0.3">
      <c r="A94" s="263" t="s">
        <v>88</v>
      </c>
      <c r="B94" s="264"/>
      <c r="C94" s="270" t="e">
        <f>VLOOKUP(B30,A59:I66,4,FALSE)</f>
        <v>#N/A</v>
      </c>
      <c r="D94" s="272" t="e">
        <f>(C92+C94)/2</f>
        <v>#N/A</v>
      </c>
      <c r="E94" s="270" t="e">
        <f>VLOOKUP(B30,A60:I66,8,FALSE)</f>
        <v>#N/A</v>
      </c>
      <c r="F94" s="265" t="e">
        <f>(E92+E94)/2</f>
        <v>#N/A</v>
      </c>
      <c r="G94" s="266"/>
      <c r="H94" s="267"/>
      <c r="I94" s="134"/>
      <c r="J94" s="357">
        <v>65</v>
      </c>
      <c r="L94" s="134">
        <f>[1]Планки!H94</f>
        <v>42</v>
      </c>
      <c r="M94" s="134">
        <f>[1]Планки!I94</f>
        <v>995</v>
      </c>
      <c r="N94" s="134">
        <f>[1]Планки!J94</f>
        <v>120</v>
      </c>
      <c r="O94" s="224">
        <f>[1]Планки!K94</f>
        <v>875</v>
      </c>
      <c r="P94" s="224">
        <f>[1]Планки!L94</f>
        <v>310</v>
      </c>
      <c r="Q94" s="134">
        <f>[1]Планки!M94</f>
        <v>330</v>
      </c>
      <c r="R94" s="134">
        <f>[1]Планки!N94</f>
        <v>380</v>
      </c>
      <c r="S94" s="224">
        <f>[1]Планки!O94</f>
        <v>30</v>
      </c>
      <c r="T94" s="134">
        <f>[1]Планки!P94</f>
        <v>42</v>
      </c>
      <c r="U94" s="134">
        <f>[1]Планки!Q94</f>
        <v>90</v>
      </c>
      <c r="V94" s="134">
        <f>[1]Планки!R94</f>
        <v>0</v>
      </c>
      <c r="AB94" s="253">
        <f t="shared" si="1"/>
        <v>125</v>
      </c>
      <c r="AC94" s="254" t="str">
        <f>IF(COUNTIF(AD$78:AD94,AD94)=1,MAX(AC$78:AC93)+1,"")</f>
        <v/>
      </c>
      <c r="AD94" s="215">
        <f>'[2]Изложницы без бурта'!B94</f>
        <v>90</v>
      </c>
      <c r="AE94" s="215">
        <f>'[2]Изложницы без бурта'!C94</f>
        <v>245</v>
      </c>
      <c r="AF94" s="56">
        <f>'[2]Изложницы без бурта'!D94</f>
        <v>140</v>
      </c>
      <c r="AG94" s="56">
        <f>'[2]Изложницы без бурта'!E94</f>
        <v>115</v>
      </c>
      <c r="AH94" s="56" t="str">
        <f>'[2]Изложницы без бурта'!F94</f>
        <v>72.11867 - 13</v>
      </c>
      <c r="AI94" s="56">
        <f>'[2]Изложницы без бурта'!G94</f>
        <v>0</v>
      </c>
      <c r="AJ94" s="56">
        <f>'[2]Изложницы без бурта'!H94</f>
        <v>0</v>
      </c>
      <c r="AK94" s="56">
        <f>'[2]Изложницы без бурта'!I94</f>
        <v>0</v>
      </c>
      <c r="AL94" s="56" t="s">
        <v>564</v>
      </c>
      <c r="AM94" s="56">
        <f>'[2]Изложницы без бурта'!K94</f>
        <v>0</v>
      </c>
      <c r="AR94" s="359">
        <v>380</v>
      </c>
      <c r="AS94" s="359">
        <v>312.5</v>
      </c>
      <c r="AT94" s="359">
        <v>420</v>
      </c>
      <c r="AU94" s="359">
        <v>325</v>
      </c>
      <c r="AV94" s="359">
        <v>470</v>
      </c>
      <c r="AW94" s="359">
        <v>400</v>
      </c>
      <c r="AX94" s="384" t="s">
        <v>535</v>
      </c>
    </row>
    <row r="95" spans="1:50" ht="15" x14ac:dyDescent="0.25">
      <c r="A95" s="268">
        <f>Втулка!N5+Данные!F35</f>
        <v>504</v>
      </c>
      <c r="B95" s="269">
        <f>A95</f>
        <v>504</v>
      </c>
      <c r="C95" s="265" t="s">
        <v>152</v>
      </c>
      <c r="D95" s="265"/>
      <c r="E95" s="265" t="s">
        <v>204</v>
      </c>
      <c r="F95" s="265"/>
      <c r="G95" s="266"/>
      <c r="H95" s="267"/>
      <c r="I95" s="134"/>
      <c r="J95" s="357">
        <v>70</v>
      </c>
      <c r="L95" s="134">
        <f>[1]Планки!H95</f>
        <v>57</v>
      </c>
      <c r="M95" s="134">
        <f>[1]Планки!I95</f>
        <v>1050</v>
      </c>
      <c r="N95" s="134">
        <f>[1]Планки!J95</f>
        <v>155</v>
      </c>
      <c r="O95" s="224">
        <f>[1]Планки!K95</f>
        <v>895</v>
      </c>
      <c r="P95" s="224">
        <f>[1]Планки!L95</f>
        <v>190</v>
      </c>
      <c r="Q95" s="134">
        <f>[1]Планки!M95</f>
        <v>200</v>
      </c>
      <c r="R95" s="134">
        <f>[1]Планки!N95</f>
        <v>240</v>
      </c>
      <c r="S95" s="224">
        <f>[1]Планки!O95</f>
        <v>32</v>
      </c>
      <c r="T95" s="134">
        <f>[1]Планки!P95</f>
        <v>45</v>
      </c>
      <c r="U95" s="134">
        <f>[1]Планки!Q95</f>
        <v>100</v>
      </c>
      <c r="V95" s="134">
        <f>[1]Планки!R95</f>
        <v>0</v>
      </c>
      <c r="AB95" s="253">
        <f t="shared" si="1"/>
        <v>127.5</v>
      </c>
      <c r="AC95" s="254" t="str">
        <f>IF(COUNTIF(AD$78:AD95,AD95)=1,MAX(AC$78:AC94)+1,"")</f>
        <v/>
      </c>
      <c r="AD95" s="215">
        <f>'[2]Изложницы без бурта'!B95</f>
        <v>90</v>
      </c>
      <c r="AE95" s="215">
        <f>'[2]Изложницы без бурта'!C95</f>
        <v>245</v>
      </c>
      <c r="AF95" s="56">
        <f>'[2]Изложницы без бурта'!D95</f>
        <v>140</v>
      </c>
      <c r="AG95" s="56">
        <f>'[2]Изложницы без бурта'!E95</f>
        <v>115</v>
      </c>
      <c r="AH95" s="56" t="str">
        <f>'[2]Изложницы без бурта'!F95</f>
        <v>72.11867 - 13</v>
      </c>
      <c r="AI95" s="56">
        <f>'[2]Изложницы без бурта'!G95</f>
        <v>0</v>
      </c>
      <c r="AJ95" s="56">
        <f>'[2]Изложницы без бурта'!H95</f>
        <v>0</v>
      </c>
      <c r="AK95" s="56">
        <f>'[2]Изложницы без бурта'!I95</f>
        <v>0</v>
      </c>
      <c r="AL95" s="56" t="s">
        <v>564</v>
      </c>
      <c r="AM95" s="56">
        <f>'[2]Изложницы без бурта'!K95</f>
        <v>0</v>
      </c>
      <c r="AR95" s="359">
        <v>382</v>
      </c>
      <c r="AS95" s="359">
        <v>312.5</v>
      </c>
      <c r="AT95" s="359">
        <v>420</v>
      </c>
      <c r="AU95" s="359">
        <v>330</v>
      </c>
      <c r="AV95" s="359">
        <v>470</v>
      </c>
      <c r="AW95" s="359">
        <v>400</v>
      </c>
      <c r="AX95" s="384" t="s">
        <v>535</v>
      </c>
    </row>
    <row r="96" spans="1:50" ht="15.6" x14ac:dyDescent="0.3">
      <c r="A96" s="271"/>
      <c r="B96" s="273">
        <f>Втулка!N8</f>
        <v>7.5</v>
      </c>
      <c r="C96" s="270" t="e">
        <f>VLOOKUP(B30,A60:I66,5,FALSE)</f>
        <v>#N/A</v>
      </c>
      <c r="D96" s="272" t="e">
        <f>C96</f>
        <v>#N/A</v>
      </c>
      <c r="E96" s="270" t="e">
        <f>VLOOKUP(B30,A60:I66,9,FALSE)</f>
        <v>#N/A</v>
      </c>
      <c r="F96" s="265" t="e">
        <f>E96</f>
        <v>#N/A</v>
      </c>
      <c r="G96" s="266"/>
      <c r="H96" s="274"/>
      <c r="I96" s="134"/>
      <c r="J96" s="357">
        <v>75</v>
      </c>
      <c r="L96" s="134">
        <f>[1]Планки!H96</f>
        <v>60</v>
      </c>
      <c r="M96" s="134">
        <f>[1]Планки!I96</f>
        <v>1105</v>
      </c>
      <c r="N96" s="134">
        <f>[1]Планки!J96</f>
        <v>200</v>
      </c>
      <c r="O96" s="224">
        <f>[1]Планки!K96</f>
        <v>905</v>
      </c>
      <c r="P96" s="224">
        <f>[1]Планки!L96</f>
        <v>145</v>
      </c>
      <c r="Q96" s="134">
        <f>[1]Планки!M96</f>
        <v>157</v>
      </c>
      <c r="R96" s="134">
        <f>[1]Планки!N96</f>
        <v>200</v>
      </c>
      <c r="S96" s="224">
        <f>[1]Планки!O96</f>
        <v>40</v>
      </c>
      <c r="T96" s="134">
        <f>[1]Планки!P96</f>
        <v>50</v>
      </c>
      <c r="U96" s="134">
        <f>[1]Планки!Q96</f>
        <v>120</v>
      </c>
      <c r="V96" s="134">
        <f>[1]Планки!R96</f>
        <v>0</v>
      </c>
      <c r="AB96" s="253">
        <f t="shared" si="1"/>
        <v>130</v>
      </c>
      <c r="AC96" s="254" t="str">
        <f>IF(COUNTIF(AD$78:AD96,AD96)=1,MAX(AC$78:AC95)+1,"")</f>
        <v/>
      </c>
      <c r="AD96" s="215">
        <f>'[2]Изложницы без бурта'!B96</f>
        <v>90</v>
      </c>
      <c r="AE96" s="215">
        <f>'[2]Изложницы без бурта'!C96</f>
        <v>243</v>
      </c>
      <c r="AF96" s="56">
        <f>'[2]Изложницы без бурта'!D96</f>
        <v>140</v>
      </c>
      <c r="AG96" s="56">
        <f>'[2]Изложницы без бурта'!E96</f>
        <v>115</v>
      </c>
      <c r="AH96" s="56" t="str">
        <f>'[2]Изложницы без бурта'!F96</f>
        <v>72.11867 - 13</v>
      </c>
      <c r="AI96" s="56">
        <f>'[2]Изложницы без бурта'!G96</f>
        <v>0</v>
      </c>
      <c r="AJ96" s="56">
        <f>'[2]Изложницы без бурта'!H96</f>
        <v>0</v>
      </c>
      <c r="AK96" s="56">
        <f>'[2]Изложницы без бурта'!I96</f>
        <v>0</v>
      </c>
      <c r="AL96" s="56" t="s">
        <v>564</v>
      </c>
      <c r="AM96" s="56">
        <f>'[2]Изложницы без бурта'!K96</f>
        <v>0</v>
      </c>
      <c r="AR96" s="359">
        <v>375</v>
      </c>
      <c r="AS96" s="359">
        <v>315</v>
      </c>
      <c r="AT96" s="359">
        <v>420</v>
      </c>
      <c r="AU96" s="359">
        <v>350</v>
      </c>
      <c r="AV96" s="359"/>
      <c r="AW96" s="359">
        <v>450</v>
      </c>
      <c r="AX96" s="384" t="s">
        <v>512</v>
      </c>
    </row>
    <row r="97" spans="1:50" ht="15.6" x14ac:dyDescent="0.3">
      <c r="A97" s="271"/>
      <c r="B97" s="275" t="e">
        <f>B92*B92*3.1415926*B95*B96/4000000</f>
        <v>#N/A</v>
      </c>
      <c r="C97" s="276" t="s">
        <v>88</v>
      </c>
      <c r="D97" s="265"/>
      <c r="E97" s="276" t="s">
        <v>205</v>
      </c>
      <c r="F97" s="265"/>
      <c r="G97" s="266"/>
      <c r="H97" s="274"/>
      <c r="I97" s="134"/>
      <c r="L97" s="134">
        <f>[1]Планки!H97</f>
        <v>27</v>
      </c>
      <c r="M97" s="134">
        <f>[1]Планки!I97</f>
        <v>1110</v>
      </c>
      <c r="N97" s="134">
        <f>[1]Планки!J97</f>
        <v>205</v>
      </c>
      <c r="O97" s="224">
        <f>[1]Планки!K97</f>
        <v>905</v>
      </c>
      <c r="P97" s="224">
        <f>[1]Планки!L97</f>
        <v>147</v>
      </c>
      <c r="Q97" s="134">
        <f>[1]Планки!M97</f>
        <v>167</v>
      </c>
      <c r="R97" s="134">
        <f>[1]Планки!N97</f>
        <v>215</v>
      </c>
      <c r="S97" s="224">
        <f>[1]Планки!O97</f>
        <v>45</v>
      </c>
      <c r="T97" s="134">
        <f>[1]Планки!P97</f>
        <v>60</v>
      </c>
      <c r="U97" s="134">
        <f>[1]Планки!Q97</f>
        <v>135</v>
      </c>
      <c r="V97" s="134">
        <f>[1]Планки!R97</f>
        <v>0</v>
      </c>
      <c r="AB97" s="253">
        <f t="shared" si="1"/>
        <v>132.5</v>
      </c>
      <c r="AC97" s="254">
        <f>IF(COUNTIF(AD$78:AD97,AD97)=1,MAX(AC$78:AC96)+1,"")</f>
        <v>4</v>
      </c>
      <c r="AD97" s="215">
        <f>'[2]Изложницы без бурта'!B97</f>
        <v>92.5</v>
      </c>
      <c r="AE97" s="215">
        <f>'[2]Изложницы без бурта'!C97</f>
        <v>240</v>
      </c>
      <c r="AF97" s="56">
        <f>'[2]Изложницы без бурта'!D97</f>
        <v>140</v>
      </c>
      <c r="AG97" s="56">
        <f>'[2]Изложницы без бурта'!E97</f>
        <v>115</v>
      </c>
      <c r="AH97" s="56" t="str">
        <f>'[2]Изложницы без бурта'!F97</f>
        <v>72.11867 - 14</v>
      </c>
      <c r="AI97" s="56">
        <f>'[2]Изложницы без бурта'!G97</f>
        <v>0</v>
      </c>
      <c r="AJ97" s="56">
        <f>'[2]Изложницы без бурта'!H97</f>
        <v>0</v>
      </c>
      <c r="AK97" s="56">
        <f>'[2]Изложницы без бурта'!I97</f>
        <v>0</v>
      </c>
      <c r="AL97" s="56" t="s">
        <v>565</v>
      </c>
      <c r="AM97" s="56">
        <f>'[2]Изложницы без бурта'!K97</f>
        <v>0</v>
      </c>
      <c r="AR97" s="359">
        <v>435</v>
      </c>
      <c r="AS97" s="359">
        <v>315</v>
      </c>
      <c r="AT97" s="359">
        <v>495</v>
      </c>
      <c r="AU97" s="359">
        <v>430</v>
      </c>
      <c r="AV97" s="359">
        <v>470</v>
      </c>
      <c r="AW97" s="359">
        <v>400</v>
      </c>
      <c r="AX97" s="384" t="s">
        <v>536</v>
      </c>
    </row>
    <row r="98" spans="1:50" ht="16.2" thickBot="1" x14ac:dyDescent="0.35">
      <c r="A98" s="271"/>
      <c r="B98" s="265"/>
      <c r="C98" s="270">
        <v>50</v>
      </c>
      <c r="D98" s="272">
        <f>C98</f>
        <v>50</v>
      </c>
      <c r="E98" s="270">
        <f>Втулка!N3</f>
        <v>729</v>
      </c>
      <c r="F98" s="277" t="e">
        <f>2*3.1415926*E101/2</f>
        <v>#N/A</v>
      </c>
      <c r="G98" s="266"/>
      <c r="H98" s="274"/>
      <c r="I98" s="134"/>
      <c r="L98" s="134">
        <f>[1]Планки!H98</f>
        <v>56</v>
      </c>
      <c r="M98" s="134">
        <f>[1]Планки!I98</f>
        <v>1060</v>
      </c>
      <c r="N98" s="134">
        <f>[1]Планки!J98</f>
        <v>155</v>
      </c>
      <c r="O98" s="224">
        <f>[1]Планки!K98</f>
        <v>905</v>
      </c>
      <c r="P98" s="224">
        <f>[1]Планки!L98</f>
        <v>180</v>
      </c>
      <c r="Q98" s="134">
        <f>[1]Планки!M98</f>
        <v>190</v>
      </c>
      <c r="R98" s="134">
        <f>[1]Планки!N98</f>
        <v>230</v>
      </c>
      <c r="S98" s="224">
        <f>[1]Планки!O98</f>
        <v>34</v>
      </c>
      <c r="T98" s="134">
        <f>[1]Планки!P98</f>
        <v>45</v>
      </c>
      <c r="U98" s="134">
        <f>[1]Планки!Q98</f>
        <v>105</v>
      </c>
      <c r="V98" s="134">
        <f>[1]Планки!R98</f>
        <v>0</v>
      </c>
      <c r="AB98" s="253">
        <f t="shared" ref="AB98:AB105" si="2">IF(MAX(AC98:AC1175)&lt;ROW(20:20),"",VLOOKUP(ROW(20:20),AC98:AD1175,2))</f>
        <v>135</v>
      </c>
      <c r="AC98" s="254" t="str">
        <f>IF(COUNTIF(AD$78:AD98,AD98)=1,MAX(AC$78:AC97)+1,"")</f>
        <v/>
      </c>
      <c r="AD98" s="215">
        <f>'[2]Изложницы без бурта'!B98</f>
        <v>92.5</v>
      </c>
      <c r="AE98" s="215">
        <f>'[2]Изложницы без бурта'!C98</f>
        <v>245</v>
      </c>
      <c r="AF98" s="56">
        <f>'[2]Изложницы без бурта'!D98</f>
        <v>140</v>
      </c>
      <c r="AG98" s="56">
        <f>'[2]Изложницы без бурта'!E98</f>
        <v>115</v>
      </c>
      <c r="AH98" s="56" t="str">
        <f>'[2]Изложницы без бурта'!F98</f>
        <v>72.11867 - 14</v>
      </c>
      <c r="AI98" s="56">
        <f>'[2]Изложницы без бурта'!G98</f>
        <v>0</v>
      </c>
      <c r="AJ98" s="56">
        <f>'[2]Изложницы без бурта'!H98</f>
        <v>0</v>
      </c>
      <c r="AK98" s="56">
        <f>'[2]Изложницы без бурта'!I98</f>
        <v>0</v>
      </c>
      <c r="AL98" s="56" t="s">
        <v>565</v>
      </c>
      <c r="AM98" s="56">
        <f>'[2]Изложницы без бурта'!K98</f>
        <v>0</v>
      </c>
      <c r="AR98" s="359">
        <v>340</v>
      </c>
      <c r="AS98" s="360">
        <v>317.5</v>
      </c>
      <c r="AT98" s="359">
        <v>425</v>
      </c>
      <c r="AU98" s="359">
        <v>360</v>
      </c>
      <c r="AV98" s="359">
        <v>415</v>
      </c>
      <c r="AW98" s="359">
        <v>400</v>
      </c>
      <c r="AX98" s="384" t="s">
        <v>537</v>
      </c>
    </row>
    <row r="99" spans="1:50" ht="15.6" thickBot="1" x14ac:dyDescent="0.3">
      <c r="A99" s="271"/>
      <c r="B99" s="266"/>
      <c r="C99" s="276" t="s">
        <v>174</v>
      </c>
      <c r="D99" s="265"/>
      <c r="E99" s="276" t="s">
        <v>206</v>
      </c>
      <c r="F99" s="265"/>
      <c r="G99" s="276" t="s">
        <v>207</v>
      </c>
      <c r="H99" s="274"/>
      <c r="I99" s="134"/>
      <c r="L99" s="134">
        <f>[1]Планки!H99</f>
        <v>46</v>
      </c>
      <c r="M99" s="134">
        <f>[1]Планки!I99</f>
        <v>1060</v>
      </c>
      <c r="N99" s="134">
        <f>[1]Планки!J99</f>
        <v>155</v>
      </c>
      <c r="O99" s="224">
        <f>[1]Планки!K99</f>
        <v>905</v>
      </c>
      <c r="P99" s="224">
        <f>[1]Планки!L99</f>
        <v>210</v>
      </c>
      <c r="Q99" s="134">
        <f>[1]Планки!M99</f>
        <v>227</v>
      </c>
      <c r="R99" s="134">
        <f>[1]Планки!N99</f>
        <v>260</v>
      </c>
      <c r="S99" s="224">
        <f>[1]Планки!O99</f>
        <v>86</v>
      </c>
      <c r="T99" s="134">
        <f>[1]Планки!P99</f>
        <v>98</v>
      </c>
      <c r="U99" s="134">
        <f>[1]Планки!Q99</f>
        <v>160</v>
      </c>
      <c r="V99" s="134" t="str">
        <f>[1]Планки!R99</f>
        <v>модель нашита  (L4=35 L5=45 L6=100)</v>
      </c>
      <c r="AB99" s="253">
        <f t="shared" si="2"/>
        <v>137.5</v>
      </c>
      <c r="AC99" s="254" t="str">
        <f>IF(COUNTIF(AD$78:AD99,AD99)=1,MAX(AC$78:AC98)+1,"")</f>
        <v/>
      </c>
      <c r="AD99" s="215">
        <f>'[2]Изложницы без бурта'!B99</f>
        <v>92.5</v>
      </c>
      <c r="AE99" s="215">
        <f>'[2]Изложницы без бурта'!C99</f>
        <v>243</v>
      </c>
      <c r="AF99" s="56">
        <f>'[2]Изложницы без бурта'!D99</f>
        <v>140</v>
      </c>
      <c r="AG99" s="56">
        <f>'[2]Изложницы без бурта'!E99</f>
        <v>115</v>
      </c>
      <c r="AH99" s="56" t="str">
        <f>'[2]Изложницы без бурта'!F99</f>
        <v>72.11867 - 14</v>
      </c>
      <c r="AI99" s="56">
        <f>'[2]Изложницы без бурта'!G99</f>
        <v>0</v>
      </c>
      <c r="AJ99" s="56">
        <f>'[2]Изложницы без бурта'!H99</f>
        <v>0</v>
      </c>
      <c r="AK99" s="56">
        <f>'[2]Изложницы без бурта'!I99</f>
        <v>0</v>
      </c>
      <c r="AL99" s="56" t="s">
        <v>565</v>
      </c>
      <c r="AM99" s="56">
        <f>'[2]Изложницы без бурта'!K99</f>
        <v>0</v>
      </c>
      <c r="AR99" s="366">
        <v>355</v>
      </c>
      <c r="AS99" s="367">
        <v>320</v>
      </c>
      <c r="AT99" s="368">
        <v>395</v>
      </c>
      <c r="AU99" s="359">
        <v>325</v>
      </c>
      <c r="AV99" s="359">
        <v>415</v>
      </c>
      <c r="AW99" s="359">
        <v>400</v>
      </c>
      <c r="AX99" s="384" t="s">
        <v>538</v>
      </c>
    </row>
    <row r="100" spans="1:50" ht="15.6" x14ac:dyDescent="0.3">
      <c r="A100" s="271"/>
      <c r="B100" s="266"/>
      <c r="C100" s="270" t="e">
        <f>VLOOKUP(B30,A59:I66,2,FALSE)</f>
        <v>#N/A</v>
      </c>
      <c r="D100" s="272" t="e">
        <f>C100</f>
        <v>#N/A</v>
      </c>
      <c r="E100" s="276" t="s">
        <v>208</v>
      </c>
      <c r="F100" s="265"/>
      <c r="G100" s="270">
        <v>270</v>
      </c>
      <c r="H100" s="274"/>
      <c r="I100" s="134"/>
      <c r="L100" s="134">
        <f>[1]Планки!H100</f>
        <v>12</v>
      </c>
      <c r="M100" s="134">
        <f>[1]Планки!I100</f>
        <v>1055</v>
      </c>
      <c r="N100" s="134">
        <f>[1]Планки!J100</f>
        <v>140</v>
      </c>
      <c r="O100" s="224">
        <f>[1]Планки!K100</f>
        <v>915</v>
      </c>
      <c r="P100" s="224">
        <f>[1]Планки!L100</f>
        <v>220</v>
      </c>
      <c r="Q100" s="134">
        <f>[1]Планки!M100</f>
        <v>235</v>
      </c>
      <c r="R100" s="134">
        <f>[1]Планки!N100</f>
        <v>275</v>
      </c>
      <c r="S100" s="224">
        <f>[1]Планки!O100</f>
        <v>35</v>
      </c>
      <c r="T100" s="134">
        <f>[1]Планки!P100</f>
        <v>40</v>
      </c>
      <c r="U100" s="134">
        <f>[1]Планки!Q100</f>
        <v>100</v>
      </c>
      <c r="V100" s="134">
        <f>[1]Планки!R100</f>
        <v>0</v>
      </c>
      <c r="AB100" s="253">
        <f t="shared" si="2"/>
        <v>140</v>
      </c>
      <c r="AC100" s="254" t="str">
        <f>IF(COUNTIF(AD$78:AD100,AD100)=1,MAX(AC$78:AC99)+1,"")</f>
        <v/>
      </c>
      <c r="AD100" s="215">
        <f>'[2]Изложницы без бурта'!B100</f>
        <v>92.5</v>
      </c>
      <c r="AE100" s="215">
        <f>'[2]Изложницы без бурта'!C100</f>
        <v>240</v>
      </c>
      <c r="AF100" s="56">
        <f>'[2]Изложницы без бурта'!D100</f>
        <v>140</v>
      </c>
      <c r="AG100" s="56">
        <f>'[2]Изложницы без бурта'!E100</f>
        <v>115</v>
      </c>
      <c r="AH100" s="56" t="str">
        <f>'[2]Изложницы без бурта'!F100</f>
        <v>72.11867 - 14</v>
      </c>
      <c r="AI100" s="56">
        <f>'[2]Изложницы без бурта'!G100</f>
        <v>0</v>
      </c>
      <c r="AJ100" s="56">
        <f>'[2]Изложницы без бурта'!H100</f>
        <v>0</v>
      </c>
      <c r="AK100" s="56">
        <f>'[2]Изложницы без бурта'!I100</f>
        <v>0</v>
      </c>
      <c r="AL100" s="56" t="s">
        <v>565</v>
      </c>
      <c r="AM100" s="56">
        <f>'[2]Изложницы без бурта'!K100</f>
        <v>0</v>
      </c>
      <c r="AR100" s="359">
        <v>352</v>
      </c>
      <c r="AS100" s="358">
        <v>325</v>
      </c>
      <c r="AT100" s="359">
        <v>517</v>
      </c>
      <c r="AU100" s="359">
        <v>465</v>
      </c>
      <c r="AV100" s="359">
        <v>470</v>
      </c>
      <c r="AW100" s="359">
        <v>400</v>
      </c>
      <c r="AX100" s="384" t="s">
        <v>475</v>
      </c>
    </row>
    <row r="101" spans="1:50" ht="15.6" thickBot="1" x14ac:dyDescent="0.3">
      <c r="A101" s="271"/>
      <c r="B101" s="266"/>
      <c r="C101" s="266"/>
      <c r="D101" s="273">
        <f>Втулка!N8</f>
        <v>7.5</v>
      </c>
      <c r="E101" s="265" t="e">
        <f>E98+C98+E96</f>
        <v>#N/A</v>
      </c>
      <c r="F101" s="273">
        <f>Втулка!N8</f>
        <v>7.5</v>
      </c>
      <c r="G101" s="265" t="s">
        <v>209</v>
      </c>
      <c r="H101" s="274"/>
      <c r="I101" s="134"/>
      <c r="L101" s="134">
        <f>[1]Планки!H101</f>
        <v>115</v>
      </c>
      <c r="M101" s="134">
        <f>[1]Планки!I101</f>
        <v>1080</v>
      </c>
      <c r="N101" s="134">
        <f>[1]Планки!J101</f>
        <v>160</v>
      </c>
      <c r="O101" s="224">
        <f>[1]Планки!K101</f>
        <v>920</v>
      </c>
      <c r="P101" s="224">
        <f>[1]Планки!L101</f>
        <v>520</v>
      </c>
      <c r="Q101" s="134">
        <f>[1]Планки!M101</f>
        <v>527</v>
      </c>
      <c r="R101" s="134">
        <f>[1]Планки!N101</f>
        <v>590</v>
      </c>
      <c r="S101" s="224">
        <f>[1]Планки!O101</f>
        <v>75</v>
      </c>
      <c r="T101" s="134">
        <f>[1]Планки!P101</f>
        <v>85</v>
      </c>
      <c r="U101" s="134">
        <f>[1]Планки!Q101</f>
        <v>120</v>
      </c>
      <c r="V101" s="134" t="str">
        <f>[1]Планки!R101</f>
        <v>модель нашита  (L4=30 L5=38 L6=80)</v>
      </c>
      <c r="AB101" s="253">
        <f t="shared" si="2"/>
        <v>142.5</v>
      </c>
      <c r="AC101" s="254" t="str">
        <f>IF(COUNTIF(AD$78:AD101,AD101)=1,MAX(AC$78:AC100)+1,"")</f>
        <v/>
      </c>
      <c r="AD101" s="215">
        <f>'[2]Изложницы без бурта'!B101</f>
        <v>92.5</v>
      </c>
      <c r="AE101" s="215">
        <f>'[2]Изложницы без бурта'!C101</f>
        <v>245</v>
      </c>
      <c r="AF101" s="56">
        <f>'[2]Изложницы без бурта'!D101</f>
        <v>140</v>
      </c>
      <c r="AG101" s="56">
        <f>'[2]Изложницы без бурта'!E101</f>
        <v>115</v>
      </c>
      <c r="AH101" s="56" t="str">
        <f>'[2]Изложницы без бурта'!F101</f>
        <v>72.11867 - 14</v>
      </c>
      <c r="AI101" s="56">
        <f>'[2]Изложницы без бурта'!G101</f>
        <v>0</v>
      </c>
      <c r="AJ101" s="56">
        <f>'[2]Изложницы без бурта'!H101</f>
        <v>0</v>
      </c>
      <c r="AK101" s="56">
        <f>'[2]Изложницы без бурта'!I101</f>
        <v>0</v>
      </c>
      <c r="AL101" s="56" t="s">
        <v>565</v>
      </c>
      <c r="AM101" s="56">
        <f>'[2]Изложницы без бурта'!K101</f>
        <v>0</v>
      </c>
      <c r="AR101" s="359">
        <v>347</v>
      </c>
      <c r="AS101" s="359">
        <v>327.5</v>
      </c>
      <c r="AT101" s="360">
        <v>520</v>
      </c>
      <c r="AU101" s="359">
        <v>470</v>
      </c>
      <c r="AV101" s="359">
        <v>470</v>
      </c>
      <c r="AW101" s="359">
        <v>400</v>
      </c>
      <c r="AX101" s="384" t="s">
        <v>475</v>
      </c>
    </row>
    <row r="102" spans="1:50" ht="16.2" thickBot="1" x14ac:dyDescent="0.35">
      <c r="A102" s="278"/>
      <c r="B102" s="279"/>
      <c r="C102" s="279"/>
      <c r="D102" s="280" t="e">
        <f>D94*D96*D98*D100*D101/1000000</f>
        <v>#N/A</v>
      </c>
      <c r="E102" s="279"/>
      <c r="F102" s="281" t="e">
        <f>F94*F96*F98*F101/1000000</f>
        <v>#N/A</v>
      </c>
      <c r="G102" s="280" t="e">
        <f>F102/360*G100</f>
        <v>#N/A</v>
      </c>
      <c r="H102" s="282" t="e">
        <f>B97+D102+G102</f>
        <v>#N/A</v>
      </c>
      <c r="I102" s="283"/>
      <c r="L102" s="134">
        <f>[1]Планки!H102</f>
        <v>116</v>
      </c>
      <c r="M102" s="134">
        <f>[1]Планки!I102</f>
        <v>1090</v>
      </c>
      <c r="N102" s="134">
        <f>[1]Планки!J102</f>
        <v>165</v>
      </c>
      <c r="O102" s="224">
        <f>[1]Планки!K102</f>
        <v>925</v>
      </c>
      <c r="P102" s="224">
        <f>[1]Планки!L102</f>
        <v>457</v>
      </c>
      <c r="Q102" s="134">
        <f>[1]Планки!M102</f>
        <v>480</v>
      </c>
      <c r="R102" s="134">
        <f>[1]Планки!N102</f>
        <v>510</v>
      </c>
      <c r="S102" s="224">
        <f>[1]Планки!O102</f>
        <v>37</v>
      </c>
      <c r="T102" s="134">
        <f>[1]Планки!P102</f>
        <v>50</v>
      </c>
      <c r="U102" s="134">
        <f>[1]Планки!Q102</f>
        <v>115</v>
      </c>
      <c r="V102" s="134">
        <f>[1]Планки!R102</f>
        <v>0</v>
      </c>
      <c r="AB102" s="253">
        <f t="shared" si="2"/>
        <v>145</v>
      </c>
      <c r="AC102" s="254">
        <f>IF(COUNTIF(AD$78:AD102,AD102)=1,MAX(AC$78:AC101)+1,"")</f>
        <v>5</v>
      </c>
      <c r="AD102" s="215">
        <f>'[2]Изложницы без бурта'!B102</f>
        <v>95</v>
      </c>
      <c r="AE102" s="215">
        <f>'[2]Изложницы без бурта'!C102</f>
        <v>243</v>
      </c>
      <c r="AF102" s="56">
        <f>'[2]Изложницы без бурта'!D102</f>
        <v>140</v>
      </c>
      <c r="AG102" s="56">
        <f>'[2]Изложницы без бурта'!E102</f>
        <v>115</v>
      </c>
      <c r="AH102" s="56" t="str">
        <f>'[2]Изложницы без бурта'!F102</f>
        <v>72.11867 - 15</v>
      </c>
      <c r="AI102" s="56">
        <f>'[2]Изложницы без бурта'!G102</f>
        <v>0</v>
      </c>
      <c r="AJ102" s="56">
        <f>'[2]Изложницы без бурта'!H102</f>
        <v>0</v>
      </c>
      <c r="AK102" s="56">
        <f>'[2]Изложницы без бурта'!I102</f>
        <v>0</v>
      </c>
      <c r="AL102" s="56" t="s">
        <v>566</v>
      </c>
      <c r="AM102" s="56">
        <f>'[2]Изложницы без бурта'!K102</f>
        <v>0</v>
      </c>
      <c r="AR102" s="359">
        <v>415</v>
      </c>
      <c r="AS102" s="366">
        <v>337.5</v>
      </c>
      <c r="AT102" s="367">
        <v>300</v>
      </c>
      <c r="AU102" s="368">
        <v>235</v>
      </c>
      <c r="AV102" s="359">
        <v>470</v>
      </c>
      <c r="AW102" s="359">
        <v>450</v>
      </c>
      <c r="AX102" s="384" t="s">
        <v>539</v>
      </c>
    </row>
    <row r="103" spans="1:50" ht="15" thickBot="1" x14ac:dyDescent="0.3">
      <c r="L103" s="134">
        <f>[1]Планки!H103</f>
        <v>81</v>
      </c>
      <c r="M103" s="134">
        <f>[1]Планки!I103</f>
        <v>1060</v>
      </c>
      <c r="N103" s="134">
        <f>[1]Планки!J103</f>
        <v>130</v>
      </c>
      <c r="O103" s="224">
        <f>[1]Планки!K103</f>
        <v>930</v>
      </c>
      <c r="P103" s="224">
        <f>[1]Планки!L103</f>
        <v>215</v>
      </c>
      <c r="Q103" s="134">
        <f>[1]Планки!M103</f>
        <v>230</v>
      </c>
      <c r="R103" s="134">
        <f>[1]Планки!N103</f>
        <v>260</v>
      </c>
      <c r="S103" s="224">
        <f>[1]Планки!O103</f>
        <v>30</v>
      </c>
      <c r="T103" s="134">
        <f>[1]Планки!P103</f>
        <v>42</v>
      </c>
      <c r="U103" s="134">
        <f>[1]Планки!Q103</f>
        <v>90</v>
      </c>
      <c r="V103" s="134">
        <f>[1]Планки!R103</f>
        <v>0</v>
      </c>
      <c r="AB103" s="253">
        <f t="shared" si="2"/>
        <v>147.5</v>
      </c>
      <c r="AC103" s="254" t="str">
        <f>IF(COUNTIF(AD$78:AD103,AD103)=1,MAX(AC$78:AC102)+1,"")</f>
        <v/>
      </c>
      <c r="AD103" s="215">
        <f>'[2]Изложницы без бурта'!B103</f>
        <v>95</v>
      </c>
      <c r="AE103" s="215">
        <f>'[2]Изложницы без бурта'!C103</f>
        <v>245</v>
      </c>
      <c r="AF103" s="56">
        <f>'[2]Изложницы без бурта'!D103</f>
        <v>140</v>
      </c>
      <c r="AG103" s="56">
        <f>'[2]Изложницы без бурта'!E103</f>
        <v>115</v>
      </c>
      <c r="AH103" s="56" t="str">
        <f>'[2]Изложницы без бурта'!F103</f>
        <v>72.11867 - 15</v>
      </c>
      <c r="AI103" s="56">
        <f>'[2]Изложницы без бурта'!G103</f>
        <v>0</v>
      </c>
      <c r="AJ103" s="56">
        <f>'[2]Изложницы без бурта'!H103</f>
        <v>0</v>
      </c>
      <c r="AK103" s="56">
        <f>'[2]Изложницы без бурта'!I103</f>
        <v>0</v>
      </c>
      <c r="AL103" s="56" t="s">
        <v>566</v>
      </c>
      <c r="AM103" s="56">
        <f>'[2]Изложницы без бурта'!K103</f>
        <v>0</v>
      </c>
      <c r="AR103" s="359">
        <v>375</v>
      </c>
      <c r="AS103" s="366">
        <v>337.5</v>
      </c>
      <c r="AT103" s="358">
        <v>400</v>
      </c>
      <c r="AU103" s="360">
        <v>325</v>
      </c>
      <c r="AV103" s="359">
        <v>470</v>
      </c>
      <c r="AW103" s="359">
        <v>400</v>
      </c>
      <c r="AX103" s="384" t="s">
        <v>540</v>
      </c>
    </row>
    <row r="104" spans="1:50" ht="15" thickBot="1" x14ac:dyDescent="0.3">
      <c r="A104" s="56" t="s">
        <v>210</v>
      </c>
      <c r="L104" s="134">
        <f>[1]Планки!H104</f>
        <v>8</v>
      </c>
      <c r="M104" s="134">
        <f>[1]Планки!I104</f>
        <v>1210</v>
      </c>
      <c r="N104" s="134">
        <f>[1]Планки!J104</f>
        <v>270</v>
      </c>
      <c r="O104" s="224">
        <f>[1]Планки!K104</f>
        <v>940</v>
      </c>
      <c r="P104" s="224">
        <f>[1]Планки!L104</f>
        <v>1250</v>
      </c>
      <c r="Q104" s="134">
        <f>[1]Планки!M104</f>
        <v>1270</v>
      </c>
      <c r="R104" s="134">
        <f>[1]Планки!N104</f>
        <v>1335</v>
      </c>
      <c r="S104" s="224">
        <f>[1]Планки!O104</f>
        <v>95</v>
      </c>
      <c r="T104" s="134">
        <f>[1]Планки!P104</f>
        <v>105</v>
      </c>
      <c r="U104" s="134">
        <f>[1]Планки!Q104</f>
        <v>185</v>
      </c>
      <c r="V104" s="134" t="str">
        <f>[1]Планки!R104</f>
        <v>не расшивать - модель развалится</v>
      </c>
      <c r="AB104" s="253">
        <f t="shared" si="2"/>
        <v>150</v>
      </c>
      <c r="AC104" s="254" t="str">
        <f>IF(COUNTIF(AD$78:AD104,AD104)=1,MAX(AC$78:AC103)+1,"")</f>
        <v/>
      </c>
      <c r="AD104" s="215">
        <f>'[2]Изложницы без бурта'!B104</f>
        <v>95</v>
      </c>
      <c r="AE104" s="215">
        <f>'[2]Изложницы без бурта'!C104</f>
        <v>240</v>
      </c>
      <c r="AF104" s="56">
        <f>'[2]Изложницы без бурта'!D104</f>
        <v>140</v>
      </c>
      <c r="AG104" s="56">
        <f>'[2]Изложницы без бурта'!E104</f>
        <v>115</v>
      </c>
      <c r="AH104" s="56" t="str">
        <f>'[2]Изложницы без бурта'!F104</f>
        <v>72.11867 - 15</v>
      </c>
      <c r="AI104" s="56">
        <f>'[2]Изложницы без бурта'!G104</f>
        <v>0</v>
      </c>
      <c r="AJ104" s="56">
        <f>'[2]Изложницы без бурта'!H104</f>
        <v>0</v>
      </c>
      <c r="AK104" s="56">
        <f>'[2]Изложницы без бурта'!I104</f>
        <v>0</v>
      </c>
      <c r="AL104" s="56" t="s">
        <v>566</v>
      </c>
      <c r="AM104" s="56">
        <f>'[2]Изложницы без бурта'!K104</f>
        <v>0</v>
      </c>
      <c r="AR104" s="359">
        <v>415</v>
      </c>
      <c r="AS104" s="366">
        <v>337.5</v>
      </c>
      <c r="AT104" s="366">
        <v>300</v>
      </c>
      <c r="AU104" s="367">
        <v>255</v>
      </c>
      <c r="AV104" s="359">
        <v>470</v>
      </c>
      <c r="AW104" s="359">
        <v>450</v>
      </c>
      <c r="AX104" s="384" t="s">
        <v>539</v>
      </c>
    </row>
    <row r="105" spans="1:50" ht="15.6" x14ac:dyDescent="0.3">
      <c r="A105" s="257" t="s">
        <v>200</v>
      </c>
      <c r="B105" s="258"/>
      <c r="C105" s="259" t="s">
        <v>201</v>
      </c>
      <c r="D105" s="258"/>
      <c r="E105" s="259" t="s">
        <v>149</v>
      </c>
      <c r="F105" s="260"/>
      <c r="G105" s="258"/>
      <c r="H105" s="284" t="s">
        <v>186</v>
      </c>
      <c r="I105" s="261" t="s">
        <v>202</v>
      </c>
      <c r="L105" s="134">
        <f>[1]Планки!H105</f>
        <v>35</v>
      </c>
      <c r="M105" s="134">
        <f>[1]Планки!I105</f>
        <v>1200</v>
      </c>
      <c r="N105" s="134">
        <f>[1]Планки!J105</f>
        <v>245</v>
      </c>
      <c r="O105" s="224">
        <f>[1]Планки!K105</f>
        <v>955</v>
      </c>
      <c r="P105" s="224">
        <f>[1]Планки!L105</f>
        <v>305</v>
      </c>
      <c r="Q105" s="134">
        <f>[1]Планки!M105</f>
        <v>317</v>
      </c>
      <c r="R105" s="134">
        <f>[1]Планки!N105</f>
        <v>380</v>
      </c>
      <c r="S105" s="224">
        <f>[1]Планки!O105</f>
        <v>63</v>
      </c>
      <c r="T105" s="134">
        <f>[1]Планки!P105</f>
        <v>75</v>
      </c>
      <c r="U105" s="134">
        <f>[1]Планки!Q105</f>
        <v>170</v>
      </c>
      <c r="V105" s="134">
        <f>[1]Планки!R105</f>
        <v>0</v>
      </c>
      <c r="AB105" s="253">
        <f t="shared" si="2"/>
        <v>155</v>
      </c>
      <c r="AC105" s="254" t="str">
        <f>IF(COUNTIF(AD$78:AD105,AD105)=1,MAX(AC$78:AC104)+1,"")</f>
        <v/>
      </c>
      <c r="AD105" s="215">
        <f>'[2]Изложницы без бурта'!B105</f>
        <v>95</v>
      </c>
      <c r="AE105" s="215">
        <f>'[2]Изложницы без бурта'!C105</f>
        <v>245</v>
      </c>
      <c r="AF105" s="56">
        <f>'[2]Изложницы без бурта'!D105</f>
        <v>140</v>
      </c>
      <c r="AG105" s="56">
        <f>'[2]Изложницы без бурта'!E105</f>
        <v>115</v>
      </c>
      <c r="AH105" s="56" t="str">
        <f>'[2]Изложницы без бурта'!F105</f>
        <v>72.11867 - 15</v>
      </c>
      <c r="AI105" s="56">
        <f>'[2]Изложницы без бурта'!G105</f>
        <v>0</v>
      </c>
      <c r="AJ105" s="56">
        <f>'[2]Изложницы без бурта'!H105</f>
        <v>0</v>
      </c>
      <c r="AK105" s="56">
        <f>'[2]Изложницы без бурта'!I105</f>
        <v>0</v>
      </c>
      <c r="AL105" s="56" t="s">
        <v>566</v>
      </c>
      <c r="AM105" s="56">
        <f>'[2]Изложницы без бурта'!K105</f>
        <v>0</v>
      </c>
      <c r="AR105" s="359">
        <v>413</v>
      </c>
      <c r="AS105" s="366">
        <v>337.5</v>
      </c>
      <c r="AT105" s="359">
        <v>515</v>
      </c>
      <c r="AU105" s="358">
        <v>450</v>
      </c>
      <c r="AV105" s="359">
        <v>470</v>
      </c>
      <c r="AW105" s="359">
        <v>400</v>
      </c>
      <c r="AX105" s="384" t="s">
        <v>513</v>
      </c>
    </row>
    <row r="106" spans="1:50" ht="15.6" thickBot="1" x14ac:dyDescent="0.3">
      <c r="A106" s="1102" t="s">
        <v>203</v>
      </c>
      <c r="B106" s="264"/>
      <c r="C106" s="265" t="s">
        <v>150</v>
      </c>
      <c r="D106" s="265"/>
      <c r="E106" s="265" t="s">
        <v>178</v>
      </c>
      <c r="F106" s="266"/>
      <c r="G106" s="265"/>
      <c r="H106" s="285" t="s">
        <v>179</v>
      </c>
      <c r="I106" s="286"/>
      <c r="L106" s="134">
        <f>[1]Планки!H106</f>
        <v>138</v>
      </c>
      <c r="M106" s="134">
        <f>[1]Планки!I106</f>
        <v>1220</v>
      </c>
      <c r="N106" s="134">
        <f>[1]Планки!J106</f>
        <v>260</v>
      </c>
      <c r="O106" s="224">
        <f>[1]Планки!K106</f>
        <v>960</v>
      </c>
      <c r="P106" s="224">
        <f>[1]Планки!L106</f>
        <v>275</v>
      </c>
      <c r="Q106" s="134">
        <f>[1]Планки!M106</f>
        <v>295</v>
      </c>
      <c r="R106" s="134">
        <f>[1]Планки!N106</f>
        <v>350</v>
      </c>
      <c r="S106" s="224">
        <f>[1]Планки!O106</f>
        <v>120</v>
      </c>
      <c r="T106" s="134">
        <f>[1]Планки!P106</f>
        <v>130</v>
      </c>
      <c r="U106" s="134">
        <f>[1]Планки!Q106</f>
        <v>220</v>
      </c>
      <c r="V106" s="134" t="str">
        <f>[1]Планки!R106</f>
        <v>модель нашита  (L4=60 L5=65 L6=170)</v>
      </c>
      <c r="AB106" s="253">
        <f t="shared" si="0"/>
        <v>157.5</v>
      </c>
      <c r="AC106" s="254" t="str">
        <f>IF(COUNTIF(AD$78:AD106,AD106)=1,MAX(AC$78:AC105)+1,"")</f>
        <v/>
      </c>
      <c r="AD106" s="215">
        <f>'[2]Изложницы без бурта'!B106</f>
        <v>95</v>
      </c>
      <c r="AE106" s="215">
        <f>'[2]Изложницы без бурта'!C106</f>
        <v>245</v>
      </c>
      <c r="AF106" s="56">
        <f>'[2]Изложницы без бурта'!D106</f>
        <v>140</v>
      </c>
      <c r="AG106" s="56">
        <f>'[2]Изложницы без бурта'!E106</f>
        <v>115</v>
      </c>
      <c r="AH106" s="56" t="str">
        <f>'[2]Изложницы без бурта'!F106</f>
        <v>72.11867 - 15</v>
      </c>
      <c r="AI106" s="56">
        <f>'[2]Изложницы без бурта'!G106</f>
        <v>0</v>
      </c>
      <c r="AJ106" s="56">
        <f>'[2]Изложницы без бурта'!H106</f>
        <v>0</v>
      </c>
      <c r="AK106" s="56">
        <f>'[2]Изложницы без бурта'!I106</f>
        <v>0</v>
      </c>
      <c r="AL106" s="56" t="s">
        <v>566</v>
      </c>
      <c r="AM106" s="56">
        <f>'[2]Изложницы без бурта'!K106</f>
        <v>0</v>
      </c>
      <c r="AR106" s="359">
        <v>410</v>
      </c>
      <c r="AS106" s="359">
        <v>340</v>
      </c>
      <c r="AT106" s="359">
        <v>370</v>
      </c>
      <c r="AU106" s="359">
        <v>295</v>
      </c>
      <c r="AV106" s="359">
        <v>470</v>
      </c>
      <c r="AW106" s="359">
        <v>450</v>
      </c>
      <c r="AX106" s="384" t="s">
        <v>541</v>
      </c>
    </row>
    <row r="107" spans="1:50" ht="15.6" thickBot="1" x14ac:dyDescent="0.3">
      <c r="A107" s="1103">
        <f>VLOOKUP(B30,A73:K78,6,FALSE)</f>
        <v>60</v>
      </c>
      <c r="B107" s="1100">
        <f>IF(A108=0,A107,A108)</f>
        <v>60</v>
      </c>
      <c r="C107" s="270">
        <f>VLOOKUP(H30,A73:K78,3,FALSE)</f>
        <v>19</v>
      </c>
      <c r="D107" s="266"/>
      <c r="E107" s="270">
        <f>VLOOKUP(H30,A73:K78,7,FALSE)</f>
        <v>35</v>
      </c>
      <c r="F107" s="266"/>
      <c r="G107" s="265"/>
      <c r="H107" s="287">
        <f>VLOOKUP(H30,A73:K78,10,FALSE)</f>
        <v>110</v>
      </c>
      <c r="I107" s="286"/>
      <c r="L107" s="134">
        <f>[1]Планки!H107</f>
        <v>26</v>
      </c>
      <c r="M107" s="134">
        <f>[1]Планки!I107</f>
        <v>1200</v>
      </c>
      <c r="N107" s="134">
        <f>[1]Планки!J107</f>
        <v>240</v>
      </c>
      <c r="O107" s="224">
        <f>[1]Планки!K107</f>
        <v>960</v>
      </c>
      <c r="P107" s="224">
        <f>[1]Планки!L107</f>
        <v>305</v>
      </c>
      <c r="Q107" s="134">
        <f>[1]Планки!M107</f>
        <v>325</v>
      </c>
      <c r="R107" s="134">
        <f>[1]Планки!N107</f>
        <v>360</v>
      </c>
      <c r="S107" s="224">
        <f>[1]Планки!O107</f>
        <v>105</v>
      </c>
      <c r="T107" s="134">
        <f>[1]Планки!P107</f>
        <v>118</v>
      </c>
      <c r="U107" s="134">
        <f>[1]Планки!Q107</f>
        <v>215</v>
      </c>
      <c r="V107" s="134" t="str">
        <f>[1]Планки!R107</f>
        <v>модель нашита  (L4=63 L5=70 L6=150)</v>
      </c>
      <c r="AB107" s="253">
        <f t="shared" si="0"/>
        <v>160</v>
      </c>
      <c r="AC107" s="254" t="str">
        <f>IF(COUNTIF(AD$78:AD107,AD107)=1,MAX(AC$78:AC106)+1,"")</f>
        <v/>
      </c>
      <c r="AD107" s="215">
        <f>'[2]Изложницы без бурта'!B107</f>
        <v>95</v>
      </c>
      <c r="AE107" s="215">
        <f>'[2]Изложницы без бурта'!C107</f>
        <v>240</v>
      </c>
      <c r="AF107" s="56">
        <f>'[2]Изложницы без бурта'!D107</f>
        <v>140</v>
      </c>
      <c r="AG107" s="56">
        <f>'[2]Изложницы без бурта'!E107</f>
        <v>115</v>
      </c>
      <c r="AH107" s="56" t="str">
        <f>'[2]Изложницы без бурта'!F107</f>
        <v>72.11867 - 15</v>
      </c>
      <c r="AI107" s="56">
        <f>'[2]Изложницы без бурта'!G107</f>
        <v>0</v>
      </c>
      <c r="AJ107" s="56">
        <f>'[2]Изложницы без бурта'!H107</f>
        <v>0</v>
      </c>
      <c r="AK107" s="56">
        <f>'[2]Изложницы без бурта'!I107</f>
        <v>0</v>
      </c>
      <c r="AL107" s="56" t="s">
        <v>566</v>
      </c>
      <c r="AM107" s="56">
        <f>'[2]Изложницы без бурта'!K107</f>
        <v>0</v>
      </c>
      <c r="AR107" s="360">
        <v>400</v>
      </c>
      <c r="AS107" s="359">
        <v>357.5</v>
      </c>
      <c r="AT107" s="359">
        <v>200</v>
      </c>
      <c r="AU107" s="359">
        <v>110</v>
      </c>
      <c r="AV107" s="359">
        <v>470</v>
      </c>
      <c r="AW107" s="359">
        <v>450</v>
      </c>
      <c r="AX107" s="384" t="s">
        <v>542</v>
      </c>
    </row>
    <row r="108" spans="1:50" ht="15.6" thickBot="1" x14ac:dyDescent="0.3">
      <c r="A108" s="1104"/>
      <c r="B108" s="1101"/>
      <c r="C108" s="265" t="s">
        <v>151</v>
      </c>
      <c r="D108" s="265"/>
      <c r="E108" s="265" t="s">
        <v>179</v>
      </c>
      <c r="F108" s="266"/>
      <c r="G108" s="265"/>
      <c r="H108" s="285" t="s">
        <v>152</v>
      </c>
      <c r="I108" s="286"/>
      <c r="L108" s="134">
        <f>[1]Планки!H108</f>
        <v>40</v>
      </c>
      <c r="M108" s="134">
        <f>[1]Планки!I108</f>
        <v>1170</v>
      </c>
      <c r="N108" s="134">
        <f>[1]Планки!J108</f>
        <v>170</v>
      </c>
      <c r="O108" s="224">
        <f>[1]Планки!K108</f>
        <v>1000</v>
      </c>
      <c r="P108" s="224">
        <f>[1]Планки!L108</f>
        <v>635</v>
      </c>
      <c r="Q108" s="134">
        <f>[1]Планки!M108</f>
        <v>650</v>
      </c>
      <c r="R108" s="134">
        <f>[1]Планки!N108</f>
        <v>690</v>
      </c>
      <c r="S108" s="224">
        <f>[1]Планки!O108</f>
        <v>55</v>
      </c>
      <c r="T108" s="134">
        <f>[1]Планки!P108</f>
        <v>75</v>
      </c>
      <c r="U108" s="134">
        <f>[1]Планки!Q108</f>
        <v>140</v>
      </c>
      <c r="V108" s="134" t="str">
        <f>[1]Планки!R108</f>
        <v>модель нашита  (L4=35 L5=47 L6=125 L1=410 L2=433 L3=470 H=1160 h2=990)</v>
      </c>
      <c r="AB108" s="253">
        <f t="shared" si="0"/>
        <v>162.5</v>
      </c>
      <c r="AC108" s="254" t="str">
        <f>IF(COUNTIF(AD$78:AD108,AD108)=1,MAX(AC$78:AC107)+1,"")</f>
        <v/>
      </c>
      <c r="AD108" s="215">
        <f>'[2]Изложницы без бурта'!B108</f>
        <v>95</v>
      </c>
      <c r="AE108" s="215">
        <f>'[2]Изложницы без бурта'!C108</f>
        <v>240</v>
      </c>
      <c r="AF108" s="56">
        <f>'[2]Изложницы без бурта'!D108</f>
        <v>140</v>
      </c>
      <c r="AG108" s="56">
        <f>'[2]Изложницы без бурта'!E108</f>
        <v>115</v>
      </c>
      <c r="AH108" s="56" t="str">
        <f>'[2]Изложницы без бурта'!F108</f>
        <v>72.11867 - 15</v>
      </c>
      <c r="AI108" s="56">
        <f>'[2]Изложницы без бурта'!G108</f>
        <v>0</v>
      </c>
      <c r="AJ108" s="56">
        <f>'[2]Изложницы без бурта'!H108</f>
        <v>0</v>
      </c>
      <c r="AK108" s="56">
        <f>'[2]Изложницы без бурта'!I108</f>
        <v>0</v>
      </c>
      <c r="AL108" s="56" t="s">
        <v>566</v>
      </c>
      <c r="AM108" s="56">
        <f>'[2]Изложницы без бурта'!K108</f>
        <v>0</v>
      </c>
      <c r="AR108" s="367">
        <v>394</v>
      </c>
      <c r="AS108" s="368">
        <v>365</v>
      </c>
      <c r="AT108" s="359">
        <v>297</v>
      </c>
      <c r="AU108" s="359">
        <v>180</v>
      </c>
      <c r="AV108" s="359">
        <v>470</v>
      </c>
      <c r="AW108" s="359">
        <v>450</v>
      </c>
      <c r="AX108" s="384" t="s">
        <v>543</v>
      </c>
    </row>
    <row r="109" spans="1:50" ht="16.2" thickBot="1" x14ac:dyDescent="0.35">
      <c r="A109" s="1106" t="s">
        <v>88</v>
      </c>
      <c r="B109" s="264"/>
      <c r="C109" s="270">
        <f>VLOOKUP(H30,A73:K78,4,FALSE)</f>
        <v>14</v>
      </c>
      <c r="D109" s="272">
        <f>(C107+C109)/2</f>
        <v>16.5</v>
      </c>
      <c r="E109" s="270">
        <f>VLOOKUP(H30,A73:K78,8,FALSE)</f>
        <v>29</v>
      </c>
      <c r="F109" s="265">
        <f>(E107+E109)/2</f>
        <v>32</v>
      </c>
      <c r="G109" s="266"/>
      <c r="H109" s="287">
        <f>VLOOKUP(H30,A73:K78,11,FALSE)</f>
        <v>90</v>
      </c>
      <c r="I109" s="286"/>
      <c r="L109" s="134">
        <f>[1]Планки!H109</f>
        <v>109</v>
      </c>
      <c r="M109" s="134">
        <f>[1]Планки!I109</f>
        <v>1115</v>
      </c>
      <c r="N109" s="134">
        <f>[1]Планки!J109</f>
        <v>120</v>
      </c>
      <c r="O109" s="224">
        <f>[1]Планки!K109</f>
        <v>995</v>
      </c>
      <c r="P109" s="224">
        <f>[1]Планки!L109</f>
        <v>100</v>
      </c>
      <c r="Q109" s="134">
        <f>[1]Планки!M109</f>
        <v>110</v>
      </c>
      <c r="R109" s="134">
        <f>[1]Планки!N109</f>
        <v>150</v>
      </c>
      <c r="S109" s="224">
        <f>[1]Планки!O109</f>
        <v>35</v>
      </c>
      <c r="T109" s="134">
        <f>[1]Планки!P109</f>
        <v>45</v>
      </c>
      <c r="U109" s="134">
        <f>[1]Планки!Q109</f>
        <v>105</v>
      </c>
      <c r="V109" s="134">
        <f>[1]Планки!R109</f>
        <v>0</v>
      </c>
      <c r="AB109" s="253">
        <f t="shared" si="0"/>
        <v>165</v>
      </c>
      <c r="AC109" s="254" t="str">
        <f>IF(COUNTIF(AD$78:AD109,AD109)=1,MAX(AC$78:AC108)+1,"")</f>
        <v/>
      </c>
      <c r="AD109" s="215">
        <f>'[2]Изложницы без бурта'!B109</f>
        <v>95</v>
      </c>
      <c r="AE109" s="215">
        <f>'[2]Изложницы без бурта'!C109</f>
        <v>245</v>
      </c>
      <c r="AF109" s="56">
        <f>'[2]Изложницы без бурта'!D109</f>
        <v>140</v>
      </c>
      <c r="AG109" s="56">
        <f>'[2]Изложницы без бурта'!E109</f>
        <v>115</v>
      </c>
      <c r="AH109" s="56" t="str">
        <f>'[2]Изложницы без бурта'!F109</f>
        <v>72.11867 - 15</v>
      </c>
      <c r="AI109" s="56">
        <f>'[2]Изложницы без бурта'!G109</f>
        <v>0</v>
      </c>
      <c r="AJ109" s="56">
        <f>'[2]Изложницы без бурта'!H109</f>
        <v>0</v>
      </c>
      <c r="AK109" s="56">
        <f>'[2]Изложницы без бурта'!I109</f>
        <v>0</v>
      </c>
      <c r="AL109" s="56" t="s">
        <v>566</v>
      </c>
      <c r="AM109" s="56">
        <f>'[2]Изложницы без бурта'!K109</f>
        <v>0</v>
      </c>
      <c r="AR109" s="358">
        <v>409</v>
      </c>
      <c r="AS109" s="359">
        <v>365</v>
      </c>
      <c r="AT109" s="359">
        <v>295</v>
      </c>
      <c r="AU109" s="359">
        <v>180</v>
      </c>
      <c r="AV109" s="359">
        <v>470</v>
      </c>
      <c r="AW109" s="359">
        <v>450</v>
      </c>
      <c r="AX109" s="384" t="s">
        <v>544</v>
      </c>
    </row>
    <row r="110" spans="1:50" ht="15" x14ac:dyDescent="0.25">
      <c r="A110" s="1103">
        <f>Втулка!N5+Данные!F35</f>
        <v>504</v>
      </c>
      <c r="B110" s="1100">
        <f>IF(A111=0,A110,A111)</f>
        <v>504</v>
      </c>
      <c r="C110" s="265" t="s">
        <v>152</v>
      </c>
      <c r="D110" s="265"/>
      <c r="E110" s="265" t="s">
        <v>204</v>
      </c>
      <c r="F110" s="265"/>
      <c r="G110" s="266"/>
      <c r="H110" s="288" t="s">
        <v>219</v>
      </c>
      <c r="I110" s="286"/>
      <c r="L110" s="134">
        <f>[1]Планки!H110</f>
        <v>1</v>
      </c>
      <c r="M110" s="134">
        <f>[1]Планки!I110</f>
        <v>1160</v>
      </c>
      <c r="N110" s="134">
        <f>[1]Планки!J110</f>
        <v>145</v>
      </c>
      <c r="O110" s="224">
        <f>[1]Планки!K110</f>
        <v>1015</v>
      </c>
      <c r="P110" s="224">
        <f>[1]Планки!L110</f>
        <v>280</v>
      </c>
      <c r="Q110" s="134">
        <f>[1]Планки!M110</f>
        <v>290</v>
      </c>
      <c r="R110" s="134">
        <f>[1]Планки!N110</f>
        <v>330</v>
      </c>
      <c r="S110" s="224">
        <f>[1]Планки!O110</f>
        <v>45</v>
      </c>
      <c r="T110" s="134">
        <f>[1]Планки!P110</f>
        <v>55</v>
      </c>
      <c r="U110" s="134">
        <f>[1]Планки!Q110</f>
        <v>115</v>
      </c>
      <c r="V110" s="134" t="str">
        <f>[1]Планки!R110</f>
        <v>модель нашита  (L4=35 L5=45 L6=105)</v>
      </c>
      <c r="AB110" s="253">
        <f t="shared" si="0"/>
        <v>167.5</v>
      </c>
      <c r="AC110" s="254" t="str">
        <f>IF(COUNTIF(AD$78:AD110,AD110)=1,MAX(AC$78:AC109)+1,"")</f>
        <v/>
      </c>
      <c r="AD110" s="215">
        <f>'[2]Изложницы без бурта'!B110</f>
        <v>95</v>
      </c>
      <c r="AE110" s="215">
        <f>'[2]Изложницы без бурта'!C110</f>
        <v>245</v>
      </c>
      <c r="AF110" s="56">
        <f>'[2]Изложницы без бурта'!D110</f>
        <v>140</v>
      </c>
      <c r="AG110" s="56">
        <f>'[2]Изложницы без бурта'!E110</f>
        <v>115</v>
      </c>
      <c r="AH110" s="56" t="str">
        <f>'[2]Изложницы без бурта'!F110</f>
        <v>72.11867 - 15</v>
      </c>
      <c r="AI110" s="56">
        <f>'[2]Изложницы без бурта'!G110</f>
        <v>0</v>
      </c>
      <c r="AJ110" s="56">
        <f>'[2]Изложницы без бурта'!H110</f>
        <v>0</v>
      </c>
      <c r="AK110" s="56">
        <f>'[2]Изложницы без бурта'!I110</f>
        <v>0</v>
      </c>
      <c r="AL110" s="56" t="s">
        <v>566</v>
      </c>
      <c r="AM110" s="56">
        <f>'[2]Изложницы без бурта'!K110</f>
        <v>0</v>
      </c>
      <c r="AR110" s="359">
        <v>390</v>
      </c>
      <c r="AS110" s="359">
        <v>365</v>
      </c>
      <c r="AT110" s="359">
        <v>295</v>
      </c>
      <c r="AU110" s="359">
        <v>180</v>
      </c>
      <c r="AV110" s="359">
        <v>470</v>
      </c>
      <c r="AW110" s="359">
        <v>450</v>
      </c>
      <c r="AX110" s="384" t="s">
        <v>543</v>
      </c>
    </row>
    <row r="111" spans="1:50" ht="16.2" thickBot="1" x14ac:dyDescent="0.35">
      <c r="A111" s="1104"/>
      <c r="B111" s="1105">
        <f>Втулка!N8</f>
        <v>7.5</v>
      </c>
      <c r="C111" s="270">
        <f>VLOOKUP(H30,A73:K78,5,FALSE)</f>
        <v>20</v>
      </c>
      <c r="D111" s="272">
        <f>C111</f>
        <v>20</v>
      </c>
      <c r="E111" s="270">
        <f>VLOOKUP(H30,A73:K78,9,FALSE)</f>
        <v>44</v>
      </c>
      <c r="F111" s="265">
        <f>E111</f>
        <v>44</v>
      </c>
      <c r="G111" s="266"/>
      <c r="H111" s="266">
        <f>(H107*H107*3.1415926*H109*B111/4000000)*2</f>
        <v>12.82947878025</v>
      </c>
      <c r="I111" s="286"/>
      <c r="L111" s="134">
        <f>[1]Планки!H111</f>
        <v>39</v>
      </c>
      <c r="M111" s="134">
        <f>[1]Планки!I111</f>
        <v>1220</v>
      </c>
      <c r="N111" s="134">
        <f>[1]Планки!J111</f>
        <v>180</v>
      </c>
      <c r="O111" s="224">
        <f>[1]Планки!K111</f>
        <v>1040</v>
      </c>
      <c r="P111" s="224">
        <f>[1]Планки!L111</f>
        <v>405</v>
      </c>
      <c r="Q111" s="134">
        <f>[1]Планки!M111</f>
        <v>420</v>
      </c>
      <c r="R111" s="134">
        <f>[1]Планки!N111</f>
        <v>460</v>
      </c>
      <c r="S111" s="224">
        <f>[1]Планки!O111</f>
        <v>70</v>
      </c>
      <c r="T111" s="134">
        <f>[1]Планки!P111</f>
        <v>80</v>
      </c>
      <c r="U111" s="134">
        <f>[1]Планки!Q111</f>
        <v>150</v>
      </c>
      <c r="V111" s="134" t="str">
        <f>[1]Планки!R111</f>
        <v>модель нашита  (L4=32 L5=40 L6=115)</v>
      </c>
      <c r="AB111" s="253">
        <f t="shared" si="0"/>
        <v>170</v>
      </c>
      <c r="AC111" s="254" t="str">
        <f>IF(COUNTIF(AD$78:AD111,AD111)=1,MAX(AC$78:AC110)+1,"")</f>
        <v/>
      </c>
      <c r="AD111" s="215">
        <f>'[2]Изложницы без бурта'!B111</f>
        <v>95</v>
      </c>
      <c r="AE111" s="215">
        <f>'[2]Изложницы без бурта'!C111</f>
        <v>245</v>
      </c>
      <c r="AF111" s="56">
        <f>'[2]Изложницы без бурта'!D111</f>
        <v>140</v>
      </c>
      <c r="AG111" s="56">
        <f>'[2]Изложницы без бурта'!E111</f>
        <v>115</v>
      </c>
      <c r="AH111" s="56" t="str">
        <f>'[2]Изложницы без бурта'!F111</f>
        <v>72.11867 - 15</v>
      </c>
      <c r="AI111" s="56">
        <f>'[2]Изложницы без бурта'!G111</f>
        <v>0</v>
      </c>
      <c r="AJ111" s="56">
        <f>'[2]Изложницы без бурта'!H111</f>
        <v>0</v>
      </c>
      <c r="AK111" s="56">
        <f>'[2]Изложницы без бурта'!I111</f>
        <v>0</v>
      </c>
      <c r="AL111" s="56" t="s">
        <v>566</v>
      </c>
      <c r="AM111" s="56">
        <f>'[2]Изложницы без бурта'!K111</f>
        <v>0</v>
      </c>
      <c r="AR111" s="359">
        <v>455</v>
      </c>
      <c r="AS111" s="359">
        <v>370</v>
      </c>
      <c r="AT111" s="359">
        <v>330</v>
      </c>
      <c r="AU111" s="359">
        <v>260</v>
      </c>
      <c r="AV111" s="359">
        <v>520</v>
      </c>
      <c r="AW111" s="359">
        <v>400</v>
      </c>
      <c r="AX111" s="384" t="s">
        <v>545</v>
      </c>
    </row>
    <row r="112" spans="1:50" ht="15.6" x14ac:dyDescent="0.3">
      <c r="A112" s="1107"/>
      <c r="B112" s="275">
        <f>B107*B107*3.1415926*B110*B111/4000000</f>
        <v>10.6876980252</v>
      </c>
      <c r="C112" s="276" t="s">
        <v>88</v>
      </c>
      <c r="D112" s="265"/>
      <c r="E112" s="276" t="s">
        <v>205</v>
      </c>
      <c r="F112" s="265"/>
      <c r="G112" s="266"/>
      <c r="H112" s="266"/>
      <c r="I112" s="286"/>
      <c r="L112" s="134">
        <f>[1]Планки!H112</f>
        <v>2</v>
      </c>
      <c r="M112" s="134">
        <f>[1]Планки!I112</f>
        <v>1235</v>
      </c>
      <c r="N112" s="134">
        <f>[1]Планки!J112</f>
        <v>180</v>
      </c>
      <c r="O112" s="224">
        <f>[1]Планки!K112</f>
        <v>1055</v>
      </c>
      <c r="P112" s="224">
        <f>[1]Планки!L112</f>
        <v>300</v>
      </c>
      <c r="Q112" s="134">
        <f>[1]Планки!M112</f>
        <v>320</v>
      </c>
      <c r="R112" s="134">
        <f>[1]Планки!N112</f>
        <v>360</v>
      </c>
      <c r="S112" s="224">
        <f>[1]Планки!O112</f>
        <v>47</v>
      </c>
      <c r="T112" s="134">
        <f>[1]Планки!P112</f>
        <v>60</v>
      </c>
      <c r="U112" s="134">
        <f>[1]Планки!Q112</f>
        <v>130</v>
      </c>
      <c r="V112" s="134" t="str">
        <f>[1]Планки!R112</f>
        <v>модель нашита  (L4=42 L5=55 L6=125)</v>
      </c>
      <c r="AB112" s="253">
        <f t="shared" si="0"/>
        <v>172.5</v>
      </c>
      <c r="AC112" s="254" t="str">
        <f>IF(COUNTIF(AD$78:AD112,AD112)=1,MAX(AC$78:AC111)+1,"")</f>
        <v/>
      </c>
      <c r="AD112" s="215">
        <f>'[2]Изложницы без бурта'!B112</f>
        <v>95</v>
      </c>
      <c r="AE112" s="215">
        <f>'[2]Изложницы без бурта'!C112</f>
        <v>245</v>
      </c>
      <c r="AF112" s="56">
        <f>'[2]Изложницы без бурта'!D112</f>
        <v>140</v>
      </c>
      <c r="AG112" s="56">
        <f>'[2]Изложницы без бурта'!E112</f>
        <v>115</v>
      </c>
      <c r="AH112" s="56" t="str">
        <f>'[2]Изложницы без бурта'!F112</f>
        <v>72.11867 - 15</v>
      </c>
      <c r="AI112" s="56">
        <f>'[2]Изложницы без бурта'!G112</f>
        <v>0</v>
      </c>
      <c r="AJ112" s="56">
        <f>'[2]Изложницы без бурта'!H112</f>
        <v>0</v>
      </c>
      <c r="AK112" s="56">
        <f>'[2]Изложницы без бурта'!I112</f>
        <v>0</v>
      </c>
      <c r="AL112" s="56" t="s">
        <v>566</v>
      </c>
      <c r="AM112" s="56">
        <f>'[2]Изложницы без бурта'!K112</f>
        <v>0</v>
      </c>
      <c r="AR112" s="359">
        <v>388</v>
      </c>
      <c r="AS112" s="359">
        <v>372.5</v>
      </c>
      <c r="AT112" s="359">
        <v>170</v>
      </c>
      <c r="AU112" s="359">
        <v>135</v>
      </c>
      <c r="AV112" s="359">
        <v>470</v>
      </c>
      <c r="AW112" s="359">
        <v>400</v>
      </c>
      <c r="AX112" s="384" t="s">
        <v>546</v>
      </c>
    </row>
    <row r="113" spans="1:50" ht="15.6" x14ac:dyDescent="0.3">
      <c r="A113" s="271"/>
      <c r="B113" s="265"/>
      <c r="C113" s="270">
        <v>100</v>
      </c>
      <c r="D113" s="272">
        <f>C113</f>
        <v>100</v>
      </c>
      <c r="E113" s="270">
        <f>Втулка!N3</f>
        <v>729</v>
      </c>
      <c r="F113" s="277">
        <f>2*3.1415926*E116/2</f>
        <v>2742.6103398</v>
      </c>
      <c r="G113" s="266"/>
      <c r="H113" s="266"/>
      <c r="I113" s="286"/>
      <c r="L113" s="134">
        <f>[1]Планки!H113</f>
        <v>48</v>
      </c>
      <c r="M113" s="134">
        <f>[1]Планки!I113</f>
        <v>1210</v>
      </c>
      <c r="N113" s="134">
        <f>[1]Планки!J113</f>
        <v>150</v>
      </c>
      <c r="O113" s="224">
        <f>[1]Планки!K113</f>
        <v>1060</v>
      </c>
      <c r="P113" s="224">
        <f>[1]Планки!L113</f>
        <v>140</v>
      </c>
      <c r="Q113" s="134">
        <f>[1]Планки!M113</f>
        <v>157</v>
      </c>
      <c r="R113" s="134">
        <f>[1]Планки!N113</f>
        <v>185</v>
      </c>
      <c r="S113" s="224">
        <f>[1]Планки!O113</f>
        <v>35</v>
      </c>
      <c r="T113" s="134">
        <f>[1]Планки!P113</f>
        <v>50</v>
      </c>
      <c r="U113" s="134">
        <f>[1]Планки!Q113</f>
        <v>110</v>
      </c>
      <c r="V113" s="134" t="str">
        <f>[1]Планки!R113</f>
        <v>модель нашита  (L4=25 L5=40 L6=100)</v>
      </c>
      <c r="AB113" s="253">
        <f t="shared" si="0"/>
        <v>175</v>
      </c>
      <c r="AC113" s="254" t="str">
        <f>IF(COUNTIF(AD$78:AD113,AD113)=1,MAX(AC$78:AC112)+1,"")</f>
        <v/>
      </c>
      <c r="AD113" s="215">
        <f>'[2]Изложницы без бурта'!B113</f>
        <v>95</v>
      </c>
      <c r="AE113" s="215">
        <f>'[2]Изложницы без бурта'!C113</f>
        <v>245</v>
      </c>
      <c r="AF113" s="56">
        <f>'[2]Изложницы без бурта'!D113</f>
        <v>140</v>
      </c>
      <c r="AG113" s="56">
        <f>'[2]Изложницы без бурта'!E113</f>
        <v>115</v>
      </c>
      <c r="AH113" s="56" t="str">
        <f>'[2]Изложницы без бурта'!F113</f>
        <v>72.11867 - 15</v>
      </c>
      <c r="AI113" s="56">
        <f>'[2]Изложницы без бурта'!G113</f>
        <v>0</v>
      </c>
      <c r="AJ113" s="56">
        <f>'[2]Изложницы без бурта'!H113</f>
        <v>0</v>
      </c>
      <c r="AK113" s="56">
        <f>'[2]Изложницы без бурта'!I113</f>
        <v>0</v>
      </c>
      <c r="AL113" s="56" t="s">
        <v>566</v>
      </c>
      <c r="AM113" s="56">
        <f>'[2]Изложницы без бурта'!K113</f>
        <v>0</v>
      </c>
      <c r="AR113" s="359">
        <v>388</v>
      </c>
      <c r="AS113" s="359">
        <v>372.5</v>
      </c>
      <c r="AT113" s="359">
        <v>170</v>
      </c>
      <c r="AU113" s="359">
        <v>135</v>
      </c>
      <c r="AV113" s="359">
        <v>470</v>
      </c>
      <c r="AW113" s="359">
        <v>400</v>
      </c>
      <c r="AX113" s="384" t="s">
        <v>546</v>
      </c>
    </row>
    <row r="114" spans="1:50" ht="15" x14ac:dyDescent="0.25">
      <c r="A114" s="271"/>
      <c r="B114" s="266"/>
      <c r="C114" s="276" t="s">
        <v>174</v>
      </c>
      <c r="D114" s="265"/>
      <c r="E114" s="276" t="s">
        <v>206</v>
      </c>
      <c r="F114" s="265"/>
      <c r="G114" s="276" t="s">
        <v>207</v>
      </c>
      <c r="H114" s="266"/>
      <c r="I114" s="286"/>
      <c r="L114" s="134">
        <f>[1]Планки!H114</f>
        <v>37</v>
      </c>
      <c r="M114" s="134">
        <f>[1]Планки!I114</f>
        <v>1230</v>
      </c>
      <c r="N114" s="134">
        <f>[1]Планки!J114</f>
        <v>165</v>
      </c>
      <c r="O114" s="224">
        <f>[1]Планки!K114</f>
        <v>1065</v>
      </c>
      <c r="P114" s="224">
        <f>[1]Планки!L114</f>
        <v>338</v>
      </c>
      <c r="Q114" s="134">
        <f>[1]Планки!M114</f>
        <v>360</v>
      </c>
      <c r="R114" s="134">
        <f>[1]Планки!N114</f>
        <v>410</v>
      </c>
      <c r="S114" s="224">
        <f>[1]Планки!O114</f>
        <v>65</v>
      </c>
      <c r="T114" s="134">
        <f>[1]Планки!P114</f>
        <v>76</v>
      </c>
      <c r="U114" s="134">
        <f>[1]Планки!Q114</f>
        <v>200</v>
      </c>
      <c r="V114" s="134" t="str">
        <f>[1]Планки!R114</f>
        <v>Уточнить наличие, Котов, 08.06.23</v>
      </c>
      <c r="AB114" s="253">
        <f t="shared" si="0"/>
        <v>177.5</v>
      </c>
      <c r="AC114" s="254" t="str">
        <f>IF(COUNTIF(AD$78:AD114,AD114)=1,MAX(AC$78:AC113)+1,"")</f>
        <v/>
      </c>
      <c r="AD114" s="215">
        <f>'[2]Изложницы без бурта'!B114</f>
        <v>95</v>
      </c>
      <c r="AE114" s="215">
        <f>'[2]Изложницы без бурта'!C114</f>
        <v>245</v>
      </c>
      <c r="AF114" s="56">
        <f>'[2]Изложницы без бурта'!D114</f>
        <v>140</v>
      </c>
      <c r="AG114" s="56">
        <f>'[2]Изложницы без бурта'!E114</f>
        <v>115</v>
      </c>
      <c r="AH114" s="56" t="str">
        <f>'[2]Изложницы без бурта'!F114</f>
        <v>72.11867 - 15</v>
      </c>
      <c r="AI114" s="56">
        <f>'[2]Изложницы без бурта'!G114</f>
        <v>0</v>
      </c>
      <c r="AJ114" s="56">
        <f>'[2]Изложницы без бурта'!H114</f>
        <v>0</v>
      </c>
      <c r="AK114" s="56">
        <f>'[2]Изложницы без бурта'!I114</f>
        <v>0</v>
      </c>
      <c r="AL114" s="56" t="s">
        <v>566</v>
      </c>
      <c r="AM114" s="56">
        <f>'[2]Изложницы без бурта'!K114</f>
        <v>0</v>
      </c>
      <c r="AR114" s="359">
        <v>388</v>
      </c>
      <c r="AS114" s="359">
        <v>375</v>
      </c>
      <c r="AT114" s="359">
        <v>170</v>
      </c>
      <c r="AU114" s="359">
        <v>137</v>
      </c>
      <c r="AV114" s="359">
        <v>470</v>
      </c>
      <c r="AW114" s="359">
        <v>400</v>
      </c>
      <c r="AX114" s="384" t="s">
        <v>546</v>
      </c>
    </row>
    <row r="115" spans="1:50" ht="15.6" x14ac:dyDescent="0.3">
      <c r="A115" s="271"/>
      <c r="B115" s="266"/>
      <c r="C115" s="270">
        <f>VLOOKUP(H30,A73:K78,2,FALSE)</f>
        <v>6</v>
      </c>
      <c r="D115" s="272">
        <f>C115</f>
        <v>6</v>
      </c>
      <c r="E115" s="276" t="s">
        <v>208</v>
      </c>
      <c r="F115" s="265"/>
      <c r="G115" s="270">
        <v>250</v>
      </c>
      <c r="H115" s="266"/>
      <c r="I115" s="286"/>
      <c r="L115" s="134">
        <f>[1]Планки!H115</f>
        <v>29</v>
      </c>
      <c r="M115" s="134">
        <f>[1]Планки!I115</f>
        <v>1215</v>
      </c>
      <c r="N115" s="134">
        <f>[1]Планки!J115</f>
        <v>140</v>
      </c>
      <c r="O115" s="224">
        <f>[1]Планки!K115</f>
        <v>1075</v>
      </c>
      <c r="P115" s="224">
        <f>[1]Планки!L115</f>
        <v>235</v>
      </c>
      <c r="Q115" s="134">
        <f>[1]Планки!M115</f>
        <v>250</v>
      </c>
      <c r="R115" s="134">
        <f>[1]Планки!N115</f>
        <v>285</v>
      </c>
      <c r="S115" s="224">
        <f>[1]Планки!O115</f>
        <v>45</v>
      </c>
      <c r="T115" s="134">
        <f>[1]Планки!P115</f>
        <v>58</v>
      </c>
      <c r="U115" s="134">
        <f>[1]Планки!Q115</f>
        <v>110</v>
      </c>
      <c r="V115" s="134" t="str">
        <f>[1]Планки!R115</f>
        <v>модель нашита  (L4=24 L5=35 L6=90)</v>
      </c>
      <c r="AB115" s="253">
        <f t="shared" si="0"/>
        <v>180</v>
      </c>
      <c r="AC115" s="254" t="str">
        <f>IF(COUNTIF(AD$78:AD115,AD115)=1,MAX(AC$78:AC114)+1,"")</f>
        <v/>
      </c>
      <c r="AD115" s="215">
        <f>'[2]Изложницы без бурта'!B115</f>
        <v>95</v>
      </c>
      <c r="AE115" s="215">
        <f>'[2]Изложницы без бурта'!C115</f>
        <v>240</v>
      </c>
      <c r="AF115" s="56">
        <f>'[2]Изложницы без бурта'!D115</f>
        <v>140</v>
      </c>
      <c r="AG115" s="56">
        <f>'[2]Изложницы без бурта'!E115</f>
        <v>115</v>
      </c>
      <c r="AH115" s="56" t="str">
        <f>'[2]Изложницы без бурта'!F115</f>
        <v>72.11867 - 15</v>
      </c>
      <c r="AI115" s="56">
        <f>'[2]Изложницы без бурта'!G115</f>
        <v>0</v>
      </c>
      <c r="AJ115" s="56">
        <f>'[2]Изложницы без бурта'!H115</f>
        <v>0</v>
      </c>
      <c r="AK115" s="56">
        <f>'[2]Изложницы без бурта'!I115</f>
        <v>0</v>
      </c>
      <c r="AL115" s="56" t="s">
        <v>566</v>
      </c>
      <c r="AM115" s="56">
        <f>'[2]Изложницы без бурта'!K115</f>
        <v>0</v>
      </c>
      <c r="AR115" s="359">
        <v>388</v>
      </c>
      <c r="AS115" s="359">
        <v>375</v>
      </c>
      <c r="AT115" s="359">
        <v>170</v>
      </c>
      <c r="AU115" s="359">
        <v>135</v>
      </c>
      <c r="AV115" s="359">
        <v>470</v>
      </c>
      <c r="AW115" s="359">
        <v>400</v>
      </c>
      <c r="AX115" s="384" t="s">
        <v>546</v>
      </c>
    </row>
    <row r="116" spans="1:50" ht="15" x14ac:dyDescent="0.25">
      <c r="A116" s="271"/>
      <c r="B116" s="266"/>
      <c r="C116" s="266"/>
      <c r="D116" s="273">
        <f>Втулка!N8</f>
        <v>7.5</v>
      </c>
      <c r="E116" s="265">
        <f>E113+C113+E111</f>
        <v>873</v>
      </c>
      <c r="F116" s="273">
        <f>Втулка!N8</f>
        <v>7.5</v>
      </c>
      <c r="G116" s="265" t="s">
        <v>209</v>
      </c>
      <c r="H116" s="266"/>
      <c r="I116" s="286"/>
      <c r="L116" s="134">
        <f>[1]Планки!H116</f>
        <v>112</v>
      </c>
      <c r="M116" s="134">
        <f>[1]Планки!I116</f>
        <v>1280</v>
      </c>
      <c r="N116" s="134">
        <f>[1]Планки!J116</f>
        <v>200</v>
      </c>
      <c r="O116" s="224">
        <f>[1]Планки!K116</f>
        <v>1095</v>
      </c>
      <c r="P116" s="224">
        <f>[1]Планки!L116</f>
        <v>335</v>
      </c>
      <c r="Q116" s="134">
        <f>[1]Планки!M116</f>
        <v>360</v>
      </c>
      <c r="R116" s="134">
        <f>[1]Планки!N116</f>
        <v>400</v>
      </c>
      <c r="S116" s="224">
        <f>[1]Планки!O116</f>
        <v>55</v>
      </c>
      <c r="T116" s="134">
        <f>[1]Планки!P116</f>
        <v>80</v>
      </c>
      <c r="U116" s="134">
        <f>[1]Планки!Q116</f>
        <v>155</v>
      </c>
      <c r="V116" s="134" t="str">
        <f>[1]Планки!R116</f>
        <v>модель нашита  (L4=30 L5=55 L6=130)</v>
      </c>
      <c r="AB116" s="253">
        <f t="shared" si="0"/>
        <v>182.5</v>
      </c>
      <c r="AC116" s="254" t="str">
        <f>IF(COUNTIF(AD$78:AD116,AD116)=1,MAX(AC$78:AC115)+1,"")</f>
        <v/>
      </c>
      <c r="AD116" s="215">
        <f>'[2]Изложницы без бурта'!B116</f>
        <v>95</v>
      </c>
      <c r="AE116" s="215">
        <f>'[2]Изложницы без бурта'!C116</f>
        <v>243</v>
      </c>
      <c r="AF116" s="56">
        <f>'[2]Изложницы без бурта'!D116</f>
        <v>140</v>
      </c>
      <c r="AG116" s="56">
        <f>'[2]Изложницы без бурта'!E116</f>
        <v>115</v>
      </c>
      <c r="AH116" s="56" t="str">
        <f>'[2]Изложницы без бурта'!F116</f>
        <v>72.11867 - 15</v>
      </c>
      <c r="AI116" s="56">
        <f>'[2]Изложницы без бурта'!G116</f>
        <v>0</v>
      </c>
      <c r="AJ116" s="56">
        <f>'[2]Изложницы без бурта'!H116</f>
        <v>0</v>
      </c>
      <c r="AK116" s="56">
        <f>'[2]Изложницы без бурта'!I116</f>
        <v>0</v>
      </c>
      <c r="AL116" s="56" t="s">
        <v>566</v>
      </c>
      <c r="AM116" s="56">
        <f>'[2]Изложницы без бурта'!K116</f>
        <v>0</v>
      </c>
      <c r="AR116" s="359">
        <v>495</v>
      </c>
      <c r="AS116" s="359">
        <v>382.5</v>
      </c>
      <c r="AT116" s="359">
        <v>578</v>
      </c>
      <c r="AU116" s="359">
        <v>510</v>
      </c>
      <c r="AV116" s="359">
        <v>520</v>
      </c>
      <c r="AW116" s="359">
        <v>400</v>
      </c>
      <c r="AX116" s="384" t="s">
        <v>547</v>
      </c>
    </row>
    <row r="117" spans="1:50" ht="16.2" thickBot="1" x14ac:dyDescent="0.35">
      <c r="A117" s="278"/>
      <c r="B117" s="279"/>
      <c r="C117" s="279"/>
      <c r="D117" s="280">
        <f>D109*D111*D113*D115*D116/1000000</f>
        <v>1.4850000000000001</v>
      </c>
      <c r="E117" s="279"/>
      <c r="F117" s="281">
        <f>F109*F111*F113*F116/1000000</f>
        <v>28.961965188287998</v>
      </c>
      <c r="G117" s="280">
        <f>F117/360*G115</f>
        <v>20.112475825200001</v>
      </c>
      <c r="H117" s="289"/>
      <c r="I117" s="282">
        <f>B112+D117+G117+H111</f>
        <v>45.114652630649999</v>
      </c>
      <c r="L117" s="134">
        <f>[1]Планки!H117</f>
        <v>108</v>
      </c>
      <c r="M117" s="134">
        <f>[1]Планки!I117</f>
        <v>1305</v>
      </c>
      <c r="N117" s="134">
        <f>[1]Планки!J117</f>
        <v>185</v>
      </c>
      <c r="O117" s="224">
        <f>[1]Планки!K117</f>
        <v>1120</v>
      </c>
      <c r="P117" s="224">
        <f>[1]Планки!L117</f>
        <v>240</v>
      </c>
      <c r="Q117" s="134">
        <f>[1]Планки!M117</f>
        <v>260</v>
      </c>
      <c r="R117" s="134">
        <f>[1]Планки!N117</f>
        <v>295</v>
      </c>
      <c r="S117" s="224">
        <f>[1]Планки!O117</f>
        <v>32</v>
      </c>
      <c r="T117" s="134">
        <f>[1]Планки!P117</f>
        <v>41</v>
      </c>
      <c r="U117" s="134">
        <f>[1]Планки!Q117</f>
        <v>110</v>
      </c>
      <c r="V117" s="134">
        <f>[1]Планки!R117</f>
        <v>0</v>
      </c>
      <c r="AB117" s="253">
        <f t="shared" si="0"/>
        <v>185</v>
      </c>
      <c r="AC117" s="254" t="str">
        <f>IF(COUNTIF(AD$78:AD117,AD117)=1,MAX(AC$78:AC116)+1,"")</f>
        <v/>
      </c>
      <c r="AD117" s="215">
        <f>'[2]Изложницы без бурта'!B117</f>
        <v>95</v>
      </c>
      <c r="AE117" s="215">
        <f>'[2]Изложницы без бурта'!C117</f>
        <v>243</v>
      </c>
      <c r="AF117" s="56">
        <f>'[2]Изложницы без бурта'!D117</f>
        <v>140</v>
      </c>
      <c r="AG117" s="56">
        <f>'[2]Изложницы без бурта'!E117</f>
        <v>115</v>
      </c>
      <c r="AH117" s="56" t="str">
        <f>'[2]Изложницы без бурта'!F117</f>
        <v>72.11867 - 15</v>
      </c>
      <c r="AI117" s="56">
        <f>'[2]Изложницы без бурта'!G117</f>
        <v>0</v>
      </c>
      <c r="AJ117" s="56">
        <f>'[2]Изложницы без бурта'!H117</f>
        <v>0</v>
      </c>
      <c r="AK117" s="56">
        <f>'[2]Изложницы без бурта'!I117</f>
        <v>0</v>
      </c>
      <c r="AL117" s="56" t="s">
        <v>566</v>
      </c>
      <c r="AM117" s="56">
        <f>'[2]Изложницы без бурта'!K117</f>
        <v>0</v>
      </c>
      <c r="AR117" s="359">
        <v>420</v>
      </c>
      <c r="AS117" s="359">
        <v>382.5</v>
      </c>
      <c r="AT117" s="359">
        <v>357</v>
      </c>
      <c r="AU117" s="359">
        <v>230</v>
      </c>
      <c r="AV117" s="359">
        <v>500</v>
      </c>
      <c r="AW117" s="359">
        <v>400</v>
      </c>
      <c r="AX117" s="384" t="s">
        <v>548</v>
      </c>
    </row>
    <row r="118" spans="1:50" ht="14.4" x14ac:dyDescent="0.25">
      <c r="L118" s="134">
        <f>[1]Планки!H118</f>
        <v>24</v>
      </c>
      <c r="M118" s="134">
        <f>[1]Планки!I118</f>
        <v>1305</v>
      </c>
      <c r="N118" s="134">
        <f>[1]Планки!J118</f>
        <v>165</v>
      </c>
      <c r="O118" s="224">
        <f>[1]Планки!K118</f>
        <v>1140</v>
      </c>
      <c r="P118" s="224">
        <f>[1]Планки!L118</f>
        <v>195</v>
      </c>
      <c r="Q118" s="134">
        <f>[1]Планки!M118</f>
        <v>200</v>
      </c>
      <c r="R118" s="134">
        <f>[1]Планки!N118</f>
        <v>240</v>
      </c>
      <c r="S118" s="224">
        <f>[1]Планки!O118</f>
        <v>30</v>
      </c>
      <c r="T118" s="134">
        <f>[1]Планки!P118</f>
        <v>42</v>
      </c>
      <c r="U118" s="134">
        <f>[1]Планки!Q118</f>
        <v>75</v>
      </c>
      <c r="V118" s="134" t="str">
        <f>[1]Планки!R118</f>
        <v>модель нашита  (L4=25 L5=37 L6=70)</v>
      </c>
      <c r="AB118" s="253">
        <f t="shared" si="0"/>
        <v>187.5</v>
      </c>
      <c r="AC118" s="254" t="str">
        <f>IF(COUNTIF(AD$78:AD118,AD118)=1,MAX(AC$78:AC117)+1,"")</f>
        <v/>
      </c>
      <c r="AD118" s="215">
        <f>'[2]Изложницы без бурта'!B118</f>
        <v>95</v>
      </c>
      <c r="AE118" s="215">
        <f>'[2]Изложницы без бурта'!C118</f>
        <v>244</v>
      </c>
      <c r="AF118" s="56">
        <f>'[2]Изложницы без бурта'!D118</f>
        <v>140</v>
      </c>
      <c r="AG118" s="56">
        <f>'[2]Изложницы без бурта'!E118</f>
        <v>115</v>
      </c>
      <c r="AH118" s="56" t="str">
        <f>'[2]Изложницы без бурта'!F118</f>
        <v>72.11867 - 15</v>
      </c>
      <c r="AI118" s="56">
        <f>'[2]Изложницы без бурта'!G118</f>
        <v>0</v>
      </c>
      <c r="AJ118" s="56">
        <f>'[2]Изложницы без бурта'!H118</f>
        <v>0</v>
      </c>
      <c r="AK118" s="56">
        <f>'[2]Изложницы без бурта'!I118</f>
        <v>0</v>
      </c>
      <c r="AL118" s="56" t="s">
        <v>566</v>
      </c>
      <c r="AM118" s="56">
        <f>'[2]Изложницы без бурта'!K118</f>
        <v>0</v>
      </c>
      <c r="AR118" s="359">
        <v>457</v>
      </c>
      <c r="AS118" s="359">
        <v>390</v>
      </c>
      <c r="AT118" s="359">
        <v>410</v>
      </c>
      <c r="AU118" s="359">
        <v>340</v>
      </c>
      <c r="AV118" s="359">
        <v>520</v>
      </c>
      <c r="AW118" s="359">
        <v>400</v>
      </c>
      <c r="AX118" s="384" t="s">
        <v>514</v>
      </c>
    </row>
    <row r="119" spans="1:50" ht="15" thickBot="1" x14ac:dyDescent="0.3">
      <c r="A119" s="56" t="s">
        <v>213</v>
      </c>
      <c r="I119" s="357" t="s">
        <v>755</v>
      </c>
      <c r="J119" s="357"/>
      <c r="L119" s="134">
        <f>[1]Планки!H119</f>
        <v>119</v>
      </c>
      <c r="M119" s="134">
        <f>[1]Планки!I119</f>
        <v>1470</v>
      </c>
      <c r="N119" s="134">
        <f>[1]Планки!J119</f>
        <v>280</v>
      </c>
      <c r="O119" s="224">
        <f>[1]Планки!K119</f>
        <v>1190</v>
      </c>
      <c r="P119" s="224">
        <f>[1]Планки!L119</f>
        <v>220</v>
      </c>
      <c r="Q119" s="134">
        <f>[1]Планки!M119</f>
        <v>235</v>
      </c>
      <c r="R119" s="134">
        <f>[1]Планки!N119</f>
        <v>285</v>
      </c>
      <c r="S119" s="224">
        <f>[1]Планки!O119</f>
        <v>51</v>
      </c>
      <c r="T119" s="134">
        <f>[1]Планки!P119</f>
        <v>60</v>
      </c>
      <c r="U119" s="134">
        <f>[1]Планки!Q119</f>
        <v>150</v>
      </c>
      <c r="V119" s="134">
        <f>[1]Планки!R119</f>
        <v>0</v>
      </c>
      <c r="AB119" s="253">
        <f t="shared" si="0"/>
        <v>190</v>
      </c>
      <c r="AC119" s="254" t="str">
        <f>IF(COUNTIF(AD$78:AD119,AD119)=1,MAX(AC$78:AC118)+1,"")</f>
        <v/>
      </c>
      <c r="AD119" s="215">
        <f>'[2]Изложницы без бурта'!B119</f>
        <v>95</v>
      </c>
      <c r="AE119" s="215">
        <f>'[2]Изложницы без бурта'!C119</f>
        <v>245</v>
      </c>
      <c r="AF119" s="56">
        <f>'[2]Изложницы без бурта'!D119</f>
        <v>140</v>
      </c>
      <c r="AG119" s="56">
        <f>'[2]Изложницы без бурта'!E119</f>
        <v>115</v>
      </c>
      <c r="AH119" s="56" t="str">
        <f>'[2]Изложницы без бурта'!F119</f>
        <v>72.11867 - 15</v>
      </c>
      <c r="AI119" s="56">
        <f>'[2]Изложницы без бурта'!G119</f>
        <v>0</v>
      </c>
      <c r="AJ119" s="56">
        <f>'[2]Изложницы без бурта'!H119</f>
        <v>0</v>
      </c>
      <c r="AK119" s="56">
        <f>'[2]Изложницы без бурта'!I119</f>
        <v>0</v>
      </c>
      <c r="AL119" s="56" t="s">
        <v>566</v>
      </c>
      <c r="AM119" s="56">
        <f>'[2]Изложницы без бурта'!K119</f>
        <v>0</v>
      </c>
      <c r="AR119" s="359">
        <v>430</v>
      </c>
      <c r="AS119" s="359">
        <v>390</v>
      </c>
      <c r="AT119" s="359">
        <v>265</v>
      </c>
      <c r="AU119" s="360">
        <v>150</v>
      </c>
      <c r="AV119" s="359">
        <v>500</v>
      </c>
      <c r="AW119" s="359">
        <v>400</v>
      </c>
      <c r="AX119" s="384" t="s">
        <v>515</v>
      </c>
    </row>
    <row r="120" spans="1:50" ht="16.2" thickBot="1" x14ac:dyDescent="0.35">
      <c r="A120" s="257" t="s">
        <v>214</v>
      </c>
      <c r="B120" s="259"/>
      <c r="C120" s="259" t="s">
        <v>149</v>
      </c>
      <c r="D120" s="259"/>
      <c r="E120" s="259" t="s">
        <v>215</v>
      </c>
      <c r="F120" s="259"/>
      <c r="G120" s="290" t="s">
        <v>202</v>
      </c>
      <c r="H120" s="291"/>
      <c r="I120" s="387">
        <v>1.5</v>
      </c>
      <c r="J120" s="387"/>
      <c r="L120" s="134">
        <f>[1]Планки!H120</f>
        <v>41</v>
      </c>
      <c r="M120" s="134">
        <f>[1]Планки!I120</f>
        <v>1470</v>
      </c>
      <c r="N120" s="134">
        <f>[1]Планки!J120</f>
        <v>280</v>
      </c>
      <c r="O120" s="224">
        <f>[1]Планки!K120</f>
        <v>1190</v>
      </c>
      <c r="P120" s="224">
        <f>[1]Планки!L120</f>
        <v>223</v>
      </c>
      <c r="Q120" s="134">
        <f>[1]Планки!M120</f>
        <v>237</v>
      </c>
      <c r="R120" s="134">
        <f>[1]Планки!N120</f>
        <v>290</v>
      </c>
      <c r="S120" s="224">
        <f>[1]Планки!O120</f>
        <v>60</v>
      </c>
      <c r="T120" s="134">
        <f>[1]Планки!P120</f>
        <v>73</v>
      </c>
      <c r="U120" s="134">
        <f>[1]Планки!Q120</f>
        <v>185</v>
      </c>
      <c r="V120" s="134" t="str">
        <f>[1]Планки!R120</f>
        <v>модель нашита  (L4=55 L5=68 L6=180)</v>
      </c>
      <c r="AB120" s="253">
        <f t="shared" si="0"/>
        <v>192.5</v>
      </c>
      <c r="AC120" s="254">
        <f>IF(COUNTIF(AD$78:AD120,AD120)=1,MAX(AC$78:AC119)+1,"")</f>
        <v>6</v>
      </c>
      <c r="AD120" s="215">
        <f>'[2]Изложницы без бурта'!B120</f>
        <v>100</v>
      </c>
      <c r="AE120" s="215">
        <f>'[2]Изложницы без бурта'!C120</f>
        <v>250</v>
      </c>
      <c r="AF120" s="56">
        <f>'[2]Изложницы без бурта'!D120</f>
        <v>185</v>
      </c>
      <c r="AG120" s="56">
        <f>'[2]Изложницы без бурта'!E120</f>
        <v>320</v>
      </c>
      <c r="AH120" s="56" t="str">
        <f>'[2]Изложницы без бурта'!F120</f>
        <v>72.11868 - 1</v>
      </c>
      <c r="AI120" s="56">
        <f>'[2]Изложницы без бурта'!G120</f>
        <v>0</v>
      </c>
      <c r="AJ120" s="56">
        <f>'[2]Изложницы без бурта'!H120</f>
        <v>0</v>
      </c>
      <c r="AK120" s="56">
        <f>'[2]Изложницы без бурта'!I120</f>
        <v>0</v>
      </c>
      <c r="AL120" s="56" t="s">
        <v>567</v>
      </c>
      <c r="AM120" s="56">
        <f>'[2]Изложницы без бурта'!K120</f>
        <v>0</v>
      </c>
      <c r="AR120" s="359">
        <v>495</v>
      </c>
      <c r="AS120" s="359">
        <v>415</v>
      </c>
      <c r="AT120" s="366">
        <v>235</v>
      </c>
      <c r="AU120" s="367">
        <v>155</v>
      </c>
      <c r="AV120" s="368">
        <v>550</v>
      </c>
      <c r="AW120" s="359">
        <v>400</v>
      </c>
      <c r="AX120" s="384" t="s">
        <v>549</v>
      </c>
    </row>
    <row r="121" spans="1:50" ht="15" x14ac:dyDescent="0.25">
      <c r="A121" s="292" t="s">
        <v>216</v>
      </c>
      <c r="B121" s="293"/>
      <c r="C121" s="265" t="s">
        <v>178</v>
      </c>
      <c r="D121" s="293"/>
      <c r="E121" s="293" t="s">
        <v>150</v>
      </c>
      <c r="F121" s="293"/>
      <c r="G121" s="294"/>
      <c r="H121" s="291"/>
      <c r="I121" s="387">
        <v>1.6</v>
      </c>
      <c r="J121" s="387"/>
      <c r="L121" s="134">
        <f>[1]Планки!H121</f>
        <v>66</v>
      </c>
      <c r="M121" s="134">
        <f>[1]Планки!I121</f>
        <v>1470</v>
      </c>
      <c r="N121" s="134">
        <f>[1]Планки!J121</f>
        <v>240</v>
      </c>
      <c r="O121" s="224">
        <f>[1]Планки!K121</f>
        <v>1230</v>
      </c>
      <c r="P121" s="224">
        <f>[1]Планки!L121</f>
        <v>245</v>
      </c>
      <c r="Q121" s="134">
        <f>[1]Планки!M121</f>
        <v>270</v>
      </c>
      <c r="R121" s="134">
        <f>[1]Планки!N121</f>
        <v>320</v>
      </c>
      <c r="S121" s="224">
        <f>[1]Планки!O121</f>
        <v>42</v>
      </c>
      <c r="T121" s="134">
        <f>[1]Планки!P121</f>
        <v>55</v>
      </c>
      <c r="U121" s="134">
        <f>[1]Планки!Q121</f>
        <v>140</v>
      </c>
      <c r="V121" s="134">
        <f>[1]Планки!R121</f>
        <v>0</v>
      </c>
      <c r="AB121" s="253">
        <f t="shared" si="0"/>
        <v>195</v>
      </c>
      <c r="AC121" s="254" t="str">
        <f>IF(COUNTIF(AD$78:AD121,AD121)=1,MAX(AC$78:AC120)+1,"")</f>
        <v/>
      </c>
      <c r="AD121" s="215">
        <f>'[2]Изложницы без бурта'!B121</f>
        <v>100</v>
      </c>
      <c r="AE121" s="215">
        <f>'[2]Изложницы без бурта'!C121</f>
        <v>255</v>
      </c>
      <c r="AF121" s="56">
        <f>'[2]Изложницы без бурта'!D121</f>
        <v>185</v>
      </c>
      <c r="AG121" s="56">
        <f>'[2]Изложницы без бурта'!E121</f>
        <v>320</v>
      </c>
      <c r="AH121" s="56" t="str">
        <f>'[2]Изложницы без бурта'!F121</f>
        <v>72.11868 - 1</v>
      </c>
      <c r="AI121" s="56">
        <f>'[2]Изложницы без бурта'!G121</f>
        <v>0</v>
      </c>
      <c r="AJ121" s="56">
        <f>'[2]Изложницы без бурта'!H121</f>
        <v>0</v>
      </c>
      <c r="AK121" s="56">
        <f>'[2]Изложницы без бурта'!I121</f>
        <v>0</v>
      </c>
      <c r="AL121" s="56" t="s">
        <v>567</v>
      </c>
      <c r="AM121" s="56">
        <f>'[2]Изложницы без бурта'!K121</f>
        <v>0</v>
      </c>
      <c r="AR121" s="359">
        <v>460</v>
      </c>
      <c r="AS121" s="359">
        <v>415</v>
      </c>
      <c r="AT121" s="359">
        <v>350</v>
      </c>
      <c r="AU121" s="358">
        <v>285</v>
      </c>
      <c r="AV121" s="359">
        <v>500</v>
      </c>
      <c r="AW121" s="359">
        <v>400</v>
      </c>
      <c r="AX121" s="384" t="s">
        <v>550</v>
      </c>
    </row>
    <row r="122" spans="1:50" ht="15.6" thickBot="1" x14ac:dyDescent="0.3">
      <c r="A122" s="295" t="e">
        <f>VLOOKUP(F30,B46:I55,5,FALSE)</f>
        <v>#N/A</v>
      </c>
      <c r="B122" s="293" t="e">
        <f>A122</f>
        <v>#N/A</v>
      </c>
      <c r="C122" s="270" t="e">
        <f>VLOOKUP(F30,B46:I55,2,FALSE)</f>
        <v>#N/A</v>
      </c>
      <c r="D122" s="293"/>
      <c r="E122" s="296" t="e">
        <f>VLOOKUP(F30,B46:I55,7,FALSE)</f>
        <v>#N/A</v>
      </c>
      <c r="F122" s="293"/>
      <c r="G122" s="294"/>
      <c r="H122" s="291"/>
      <c r="I122" s="387">
        <v>1.7</v>
      </c>
      <c r="J122" s="387"/>
      <c r="L122" s="134">
        <f>[1]Планки!H122</f>
        <v>140</v>
      </c>
      <c r="M122" s="134">
        <f>[1]Планки!I122</f>
        <v>1460</v>
      </c>
      <c r="N122" s="134">
        <f>[1]Планки!J122</f>
        <v>230</v>
      </c>
      <c r="O122" s="224">
        <f>[1]Планки!K122</f>
        <v>1230</v>
      </c>
      <c r="P122" s="224">
        <f>[1]Планки!L122</f>
        <v>300</v>
      </c>
      <c r="Q122" s="134">
        <f>[1]Планки!M122</f>
        <v>320</v>
      </c>
      <c r="R122" s="134">
        <f>[1]Планки!N122</f>
        <v>370</v>
      </c>
      <c r="S122" s="224">
        <f>[1]Планки!O122</f>
        <v>75</v>
      </c>
      <c r="T122" s="134">
        <f>[1]Планки!P122</f>
        <v>90</v>
      </c>
      <c r="U122" s="134">
        <f>[1]Планки!Q122</f>
        <v>170</v>
      </c>
      <c r="V122" s="134" t="str">
        <f>[1]Планки!R122</f>
        <v>модель нашита  (L4=35 L5=50 L6=130)</v>
      </c>
      <c r="AB122" s="253">
        <f t="shared" si="0"/>
        <v>197.5</v>
      </c>
      <c r="AC122" s="254" t="str">
        <f>IF(COUNTIF(AD$78:AD122,AD122)=1,MAX(AC$78:AC121)+1,"")</f>
        <v/>
      </c>
      <c r="AD122" s="215">
        <f>'[2]Изложницы без бурта'!B122</f>
        <v>100</v>
      </c>
      <c r="AE122" s="215">
        <f>'[2]Изложницы без бурта'!C122</f>
        <v>243</v>
      </c>
      <c r="AF122" s="56">
        <f>'[2]Изложницы без бурта'!D122</f>
        <v>140</v>
      </c>
      <c r="AG122" s="56">
        <f>'[2]Изложницы без бурта'!E122</f>
        <v>115</v>
      </c>
      <c r="AH122" s="56" t="str">
        <f>'[2]Изложницы без бурта'!F122</f>
        <v>72.11868 - 1</v>
      </c>
      <c r="AI122" s="56">
        <f>'[2]Изложницы без бурта'!G122</f>
        <v>0</v>
      </c>
      <c r="AJ122" s="56">
        <f>'[2]Изложницы без бурта'!H122</f>
        <v>0</v>
      </c>
      <c r="AK122" s="56">
        <f>'[2]Изложницы без бурта'!I122</f>
        <v>0</v>
      </c>
      <c r="AL122" s="56" t="s">
        <v>567</v>
      </c>
      <c r="AM122" s="56">
        <f>'[2]Изложницы без бурта'!K122</f>
        <v>0</v>
      </c>
      <c r="AR122" s="360">
        <v>466</v>
      </c>
      <c r="AS122" s="359">
        <v>445</v>
      </c>
      <c r="AT122" s="360">
        <v>190</v>
      </c>
      <c r="AU122" s="359">
        <v>115</v>
      </c>
      <c r="AV122" s="359">
        <v>500</v>
      </c>
      <c r="AW122" s="359">
        <v>400</v>
      </c>
      <c r="AX122" s="384" t="s">
        <v>551</v>
      </c>
    </row>
    <row r="123" spans="1:50" ht="15.6" thickBot="1" x14ac:dyDescent="0.3">
      <c r="A123" s="297"/>
      <c r="B123" s="293"/>
      <c r="C123" s="265" t="s">
        <v>179</v>
      </c>
      <c r="D123" s="293"/>
      <c r="E123" s="293" t="s">
        <v>151</v>
      </c>
      <c r="F123" s="293"/>
      <c r="G123" s="294"/>
      <c r="H123" s="291"/>
      <c r="I123" s="387">
        <v>1.8</v>
      </c>
      <c r="J123" s="387"/>
      <c r="L123" s="134">
        <f>[1]Планки!H123</f>
        <v>7</v>
      </c>
      <c r="M123" s="134">
        <f>[1]Планки!I123</f>
        <v>1480</v>
      </c>
      <c r="N123" s="134">
        <f>[1]Планки!J123</f>
        <v>245</v>
      </c>
      <c r="O123" s="224">
        <f>[1]Планки!K123</f>
        <v>1235</v>
      </c>
      <c r="P123" s="224">
        <f>[1]Планки!L123</f>
        <v>465</v>
      </c>
      <c r="Q123" s="134">
        <f>[1]Планки!M123</f>
        <v>488</v>
      </c>
      <c r="R123" s="134">
        <f>[1]Планки!N123</f>
        <v>540</v>
      </c>
      <c r="S123" s="224">
        <f>[1]Планки!O123</f>
        <v>42</v>
      </c>
      <c r="T123" s="134">
        <f>[1]Планки!P123</f>
        <v>57</v>
      </c>
      <c r="U123" s="134">
        <f>[1]Планки!Q123</f>
        <v>153</v>
      </c>
      <c r="V123" s="134" t="str">
        <f>[1]Планки!R123</f>
        <v>не найдена</v>
      </c>
      <c r="AB123" s="253">
        <f t="shared" si="0"/>
        <v>200</v>
      </c>
      <c r="AC123" s="254" t="str">
        <f>IF(COUNTIF(AD$78:AD123,AD123)=1,MAX(AC$78:AC122)+1,"")</f>
        <v/>
      </c>
      <c r="AD123" s="215">
        <f>'[2]Изложницы без бурта'!B123</f>
        <v>100</v>
      </c>
      <c r="AE123" s="215">
        <f>'[2]Изложницы без бурта'!C123</f>
        <v>260</v>
      </c>
      <c r="AF123" s="56">
        <f>'[2]Изложницы без бурта'!D123</f>
        <v>185</v>
      </c>
      <c r="AG123" s="56">
        <f>'[2]Изложницы без бурта'!E123</f>
        <v>320</v>
      </c>
      <c r="AH123" s="56" t="str">
        <f>'[2]Изложницы без бурта'!F123</f>
        <v>72.11868 - 1</v>
      </c>
      <c r="AI123" s="56">
        <f>'[2]Изложницы без бурта'!G123</f>
        <v>0</v>
      </c>
      <c r="AJ123" s="56">
        <f>'[2]Изложницы без бурта'!H123</f>
        <v>0</v>
      </c>
      <c r="AK123" s="56">
        <f>'[2]Изложницы без бурта'!I123</f>
        <v>0</v>
      </c>
      <c r="AL123" s="56" t="s">
        <v>567</v>
      </c>
      <c r="AM123" s="56">
        <f>'[2]Изложницы без бурта'!K123</f>
        <v>0</v>
      </c>
      <c r="AR123" s="367">
        <v>481</v>
      </c>
      <c r="AS123" s="379">
        <v>455</v>
      </c>
      <c r="AT123" s="367">
        <v>397</v>
      </c>
      <c r="AU123" s="368">
        <v>350</v>
      </c>
      <c r="AV123" s="359">
        <v>520</v>
      </c>
      <c r="AW123" s="359">
        <v>400</v>
      </c>
      <c r="AX123" s="384" t="s">
        <v>552</v>
      </c>
    </row>
    <row r="124" spans="1:50" ht="15" x14ac:dyDescent="0.25">
      <c r="A124" s="292" t="s">
        <v>217</v>
      </c>
      <c r="B124" s="293"/>
      <c r="C124" s="270" t="e">
        <f>VLOOKUP(F30,B46:I55,3,FALSE)</f>
        <v>#N/A</v>
      </c>
      <c r="D124" s="293" t="e">
        <f>(C122+C124)/2</f>
        <v>#N/A</v>
      </c>
      <c r="E124" s="296" t="e">
        <f>VLOOKUP(F30,B46:I55,8,FALSE)</f>
        <v>#N/A</v>
      </c>
      <c r="F124" s="293"/>
      <c r="G124" s="294"/>
      <c r="H124" s="291"/>
      <c r="I124" s="387">
        <v>1.9</v>
      </c>
      <c r="J124" s="387"/>
      <c r="L124" s="134">
        <f>[1]Планки!H124</f>
        <v>9</v>
      </c>
      <c r="M124" s="134">
        <f>[1]Планки!I124</f>
        <v>1410</v>
      </c>
      <c r="N124" s="134">
        <f>[1]Планки!J124</f>
        <v>160</v>
      </c>
      <c r="O124" s="224">
        <f>[1]Планки!K124</f>
        <v>1250</v>
      </c>
      <c r="P124" s="224">
        <f>[1]Планки!L124</f>
        <v>360</v>
      </c>
      <c r="Q124" s="134">
        <f>[1]Планки!M124</f>
        <v>377</v>
      </c>
      <c r="R124" s="134">
        <f>[1]Планки!N124</f>
        <v>420</v>
      </c>
      <c r="S124" s="224">
        <f>[1]Планки!O124</f>
        <v>53</v>
      </c>
      <c r="T124" s="134">
        <f>[1]Планки!P124</f>
        <v>63</v>
      </c>
      <c r="U124" s="134">
        <f>[1]Планки!Q124</f>
        <v>125</v>
      </c>
      <c r="V124" s="134" t="str">
        <f>[1]Планки!R124</f>
        <v>модель нашита  (L4=28 L5=40 L6=100)</v>
      </c>
      <c r="AB124" s="253">
        <f t="shared" si="0"/>
        <v>202.5</v>
      </c>
      <c r="AC124" s="254">
        <f>IF(COUNTIF(AD$78:AD124,AD124)=1,MAX(AC$78:AC123)+1,"")</f>
        <v>7</v>
      </c>
      <c r="AD124" s="215">
        <f>'[2]Изложницы без бурта'!B124</f>
        <v>102.5</v>
      </c>
      <c r="AE124" s="215">
        <f>'[2]Изложницы без бурта'!C124</f>
        <v>255</v>
      </c>
      <c r="AF124" s="56">
        <f>'[2]Изложницы без бурта'!D124</f>
        <v>185</v>
      </c>
      <c r="AG124" s="56">
        <f>'[2]Изложницы без бурта'!E124</f>
        <v>320</v>
      </c>
      <c r="AH124" s="56" t="str">
        <f>'[2]Изложницы без бурта'!F124</f>
        <v>72.11868 - 2</v>
      </c>
      <c r="AI124" s="56">
        <f>'[2]Изложницы без бурта'!G124</f>
        <v>0</v>
      </c>
      <c r="AJ124" s="56">
        <f>'[2]Изложницы без бурта'!H124</f>
        <v>0</v>
      </c>
      <c r="AK124" s="56">
        <f>'[2]Изложницы без бурта'!I124</f>
        <v>0</v>
      </c>
      <c r="AL124" s="56" t="s">
        <v>568</v>
      </c>
      <c r="AM124" s="56">
        <f>'[2]Изложницы без бурта'!K124</f>
        <v>0</v>
      </c>
      <c r="AR124" s="358">
        <v>490</v>
      </c>
      <c r="AS124" s="359">
        <v>455</v>
      </c>
      <c r="AT124" s="358">
        <v>405</v>
      </c>
      <c r="AU124" s="359">
        <v>355</v>
      </c>
      <c r="AV124" s="368">
        <v>550</v>
      </c>
      <c r="AW124" s="359">
        <v>400</v>
      </c>
      <c r="AX124" s="384" t="s">
        <v>552</v>
      </c>
    </row>
    <row r="125" spans="1:50" ht="15.6" thickBot="1" x14ac:dyDescent="0.3">
      <c r="A125" s="295" t="e">
        <f>VLOOKUP(F30,B46:I55,6,FALSE)</f>
        <v>#N/A</v>
      </c>
      <c r="B125" s="293" t="e">
        <f>A125</f>
        <v>#N/A</v>
      </c>
      <c r="C125" s="265" t="s">
        <v>204</v>
      </c>
      <c r="D125" s="293"/>
      <c r="E125" s="293" t="s">
        <v>152</v>
      </c>
      <c r="F125" s="293"/>
      <c r="G125" s="294"/>
      <c r="H125" s="291"/>
      <c r="I125" s="387">
        <v>2</v>
      </c>
      <c r="J125" s="387"/>
      <c r="L125" s="134">
        <f>[1]Планки!H125</f>
        <v>118</v>
      </c>
      <c r="M125" s="134">
        <f>[1]Планки!I125</f>
        <v>1520</v>
      </c>
      <c r="N125" s="134">
        <f>[1]Планки!J125</f>
        <v>245</v>
      </c>
      <c r="O125" s="224">
        <f>[1]Планки!K125</f>
        <v>1275</v>
      </c>
      <c r="P125" s="224">
        <f>[1]Планки!L125</f>
        <v>183</v>
      </c>
      <c r="Q125" s="134">
        <f>[1]Планки!M125</f>
        <v>207</v>
      </c>
      <c r="R125" s="134">
        <f>[1]Планки!N125</f>
        <v>250</v>
      </c>
      <c r="S125" s="224">
        <f>[1]Планки!O125</f>
        <v>40</v>
      </c>
      <c r="T125" s="134">
        <f>[1]Планки!P125</f>
        <v>56</v>
      </c>
      <c r="U125" s="134">
        <f>[1]Планки!Q125</f>
        <v>155</v>
      </c>
      <c r="V125" s="134">
        <f>[1]Планки!R125</f>
        <v>0</v>
      </c>
      <c r="AB125" s="253">
        <f t="shared" si="0"/>
        <v>205</v>
      </c>
      <c r="AC125" s="254" t="str">
        <f>IF(COUNTIF(AD$78:AD125,AD125)=1,MAX(AC$78:AC124)+1,"")</f>
        <v/>
      </c>
      <c r="AD125" s="215">
        <f>'[2]Изложницы без бурта'!B125</f>
        <v>102.5</v>
      </c>
      <c r="AE125" s="215">
        <f>'[2]Изложницы без бурта'!C125</f>
        <v>252</v>
      </c>
      <c r="AF125" s="56">
        <f>'[2]Изложницы без бурта'!D125</f>
        <v>185</v>
      </c>
      <c r="AG125" s="56">
        <f>'[2]Изложницы без бурта'!E125</f>
        <v>320</v>
      </c>
      <c r="AH125" s="56" t="str">
        <f>'[2]Изложницы без бурта'!F125</f>
        <v>72.11868 - 2</v>
      </c>
      <c r="AI125" s="56">
        <f>'[2]Изложницы без бурта'!G125</f>
        <v>0</v>
      </c>
      <c r="AJ125" s="56">
        <f>'[2]Изложницы без бурта'!H125</f>
        <v>0</v>
      </c>
      <c r="AK125" s="56">
        <f>'[2]Изложницы без бурта'!I125</f>
        <v>0</v>
      </c>
      <c r="AL125" s="56" t="s">
        <v>568</v>
      </c>
      <c r="AM125" s="56">
        <f>'[2]Изложницы без бурта'!K125</f>
        <v>0</v>
      </c>
      <c r="AR125" s="359">
        <v>490</v>
      </c>
      <c r="AS125" s="359">
        <v>455</v>
      </c>
      <c r="AT125" s="360">
        <v>395</v>
      </c>
      <c r="AU125" s="359">
        <v>345</v>
      </c>
      <c r="AV125" s="368">
        <v>550</v>
      </c>
      <c r="AW125" s="359">
        <v>400</v>
      </c>
      <c r="AX125" s="384" t="s">
        <v>552</v>
      </c>
    </row>
    <row r="126" spans="1:50" ht="15.6" thickBot="1" x14ac:dyDescent="0.3">
      <c r="A126" s="297"/>
      <c r="B126" s="293"/>
      <c r="C126" s="270" t="e">
        <f>VLOOKUP(F30,B46:I55,4,FALSE)</f>
        <v>#N/A</v>
      </c>
      <c r="D126" s="293" t="e">
        <f>C126</f>
        <v>#N/A</v>
      </c>
      <c r="E126" s="296">
        <f>B128</f>
        <v>504</v>
      </c>
      <c r="F126" s="293"/>
      <c r="G126" s="294"/>
      <c r="H126" s="291"/>
      <c r="I126" s="387">
        <v>2.1</v>
      </c>
      <c r="J126" s="387"/>
      <c r="L126" s="134">
        <f>[1]Планки!H126</f>
        <v>74</v>
      </c>
      <c r="M126" s="134">
        <f>[1]Планки!I126</f>
        <v>1530</v>
      </c>
      <c r="N126" s="134">
        <f>[1]Планки!J126</f>
        <v>250</v>
      </c>
      <c r="O126" s="224">
        <f>[1]Планки!K126</f>
        <v>1280</v>
      </c>
      <c r="P126" s="224">
        <f>[1]Планки!L126</f>
        <v>160</v>
      </c>
      <c r="Q126" s="134">
        <f>[1]Планки!M126</f>
        <v>178</v>
      </c>
      <c r="R126" s="134">
        <f>[1]Планки!N126</f>
        <v>240</v>
      </c>
      <c r="S126" s="224">
        <f>[1]Планки!O126</f>
        <v>40</v>
      </c>
      <c r="T126" s="134">
        <f>[1]Планки!P126</f>
        <v>54</v>
      </c>
      <c r="U126" s="134">
        <f>[1]Планки!Q126</f>
        <v>160</v>
      </c>
      <c r="V126" s="134">
        <f>[1]Планки!R126</f>
        <v>0</v>
      </c>
      <c r="AB126" s="253">
        <f t="shared" si="0"/>
        <v>207.5</v>
      </c>
      <c r="AC126" s="254" t="str">
        <f>IF(COUNTIF(AD$78:AD126,AD126)=1,MAX(AC$78:AC125)+1,"")</f>
        <v/>
      </c>
      <c r="AD126" s="215">
        <f>'[2]Изложницы без бурта'!B126</f>
        <v>102.5</v>
      </c>
      <c r="AE126" s="215">
        <f>'[2]Изложницы без бурта'!C126</f>
        <v>256</v>
      </c>
      <c r="AF126" s="56">
        <f>'[2]Изложницы без бурта'!D126</f>
        <v>185</v>
      </c>
      <c r="AG126" s="56">
        <f>'[2]Изложницы без бурта'!E126</f>
        <v>320</v>
      </c>
      <c r="AH126" s="56" t="str">
        <f>'[2]Изложницы без бурта'!F126</f>
        <v>72.11868 - 2</v>
      </c>
      <c r="AI126" s="56">
        <f>'[2]Изложницы без бурта'!G126</f>
        <v>0</v>
      </c>
      <c r="AJ126" s="56">
        <f>'[2]Изложницы без бурта'!H126</f>
        <v>0</v>
      </c>
      <c r="AK126" s="56">
        <f>'[2]Изложницы без бурта'!I126</f>
        <v>0</v>
      </c>
      <c r="AL126" s="56" t="s">
        <v>568</v>
      </c>
      <c r="AM126" s="56">
        <f>'[2]Изложницы без бурта'!K126</f>
        <v>0</v>
      </c>
      <c r="AR126" s="359">
        <v>488</v>
      </c>
      <c r="AS126" s="366">
        <v>457.5</v>
      </c>
      <c r="AT126" s="367">
        <v>355</v>
      </c>
      <c r="AU126" s="368">
        <v>308</v>
      </c>
      <c r="AV126" s="368">
        <v>550</v>
      </c>
      <c r="AW126" s="359">
        <v>400</v>
      </c>
      <c r="AX126" s="384" t="s">
        <v>552</v>
      </c>
    </row>
    <row r="127" spans="1:50" ht="14.4" x14ac:dyDescent="0.3">
      <c r="A127" s="298" t="s">
        <v>8</v>
      </c>
      <c r="B127" s="293"/>
      <c r="C127" s="276" t="s">
        <v>1076</v>
      </c>
      <c r="D127" s="293"/>
      <c r="E127" s="293"/>
      <c r="F127" s="293"/>
      <c r="G127" s="294"/>
      <c r="H127" s="291"/>
      <c r="I127" s="387">
        <v>2.2000000000000002</v>
      </c>
      <c r="J127" s="387"/>
      <c r="L127" s="134">
        <f>[1]Планки!H127</f>
        <v>117</v>
      </c>
      <c r="M127" s="134">
        <f>[1]Планки!I127</f>
        <v>1670</v>
      </c>
      <c r="N127" s="134">
        <f>[1]Планки!J127</f>
        <v>330</v>
      </c>
      <c r="O127" s="224">
        <f>[1]Планки!K127</f>
        <v>1340</v>
      </c>
      <c r="P127" s="224">
        <f>[1]Планки!L127</f>
        <v>443</v>
      </c>
      <c r="Q127" s="134">
        <f>[1]Планки!M127</f>
        <v>470</v>
      </c>
      <c r="R127" s="134">
        <f>[1]Планки!N127</f>
        <v>530</v>
      </c>
      <c r="S127" s="224">
        <f>[1]Планки!O127</f>
        <v>80</v>
      </c>
      <c r="T127" s="134">
        <f>[1]Планки!P127</f>
        <v>90</v>
      </c>
      <c r="U127" s="134">
        <f>[1]Планки!Q127</f>
        <v>220</v>
      </c>
      <c r="V127" s="134" t="str">
        <f>[1]Планки!R127</f>
        <v>модель нашита  (L4=62 L5=75 L6=205)</v>
      </c>
      <c r="AB127" s="253">
        <f t="shared" si="0"/>
        <v>210</v>
      </c>
      <c r="AC127" s="254" t="str">
        <f>IF(COUNTIF(AD$78:AD127,AD127)=1,MAX(AC$78:AC126)+1,"")</f>
        <v/>
      </c>
      <c r="AD127" s="215">
        <f>'[2]Изложницы без бурта'!B127</f>
        <v>102.5</v>
      </c>
      <c r="AE127" s="215">
        <f>'[2]Изложницы без бурта'!C127</f>
        <v>255</v>
      </c>
      <c r="AF127" s="56">
        <f>'[2]Изложницы без бурта'!D127</f>
        <v>185</v>
      </c>
      <c r="AG127" s="56">
        <f>'[2]Изложницы без бурта'!E127</f>
        <v>320</v>
      </c>
      <c r="AH127" s="56" t="str">
        <f>'[2]Изложницы без бурта'!F127</f>
        <v>72.11868 - 2</v>
      </c>
      <c r="AI127" s="56">
        <f>'[2]Изложницы без бурта'!G127</f>
        <v>0</v>
      </c>
      <c r="AJ127" s="56">
        <f>'[2]Изложницы без бурта'!H127</f>
        <v>0</v>
      </c>
      <c r="AK127" s="56">
        <f>'[2]Изложницы без бурта'!I127</f>
        <v>0</v>
      </c>
      <c r="AL127" s="56" t="s">
        <v>568</v>
      </c>
      <c r="AM127" s="56">
        <f>'[2]Изложницы без бурта'!K127</f>
        <v>0</v>
      </c>
      <c r="AR127" s="359">
        <v>520</v>
      </c>
      <c r="AS127" s="359">
        <v>470</v>
      </c>
      <c r="AT127" s="358">
        <v>340</v>
      </c>
      <c r="AU127" s="359">
        <v>265</v>
      </c>
      <c r="AV127" s="359">
        <v>570</v>
      </c>
      <c r="AW127" s="359">
        <v>400</v>
      </c>
      <c r="AX127" s="384" t="s">
        <v>553</v>
      </c>
    </row>
    <row r="128" spans="1:50" ht="15.6" x14ac:dyDescent="0.3">
      <c r="A128" s="299">
        <f>Втулка!N5+Данные!F35</f>
        <v>504</v>
      </c>
      <c r="B128" s="293">
        <f>A128</f>
        <v>504</v>
      </c>
      <c r="C128" s="270">
        <v>210</v>
      </c>
      <c r="D128" s="293" t="e">
        <f>2*3.1415926*C131/2</f>
        <v>#N/A</v>
      </c>
      <c r="E128" s="446">
        <f>B130-1</f>
        <v>1</v>
      </c>
      <c r="F128" s="293" t="e">
        <f>E122*E124*E126*B129*E128/1000000</f>
        <v>#N/A</v>
      </c>
      <c r="G128" s="294"/>
      <c r="H128" s="291"/>
      <c r="I128" s="387">
        <v>2.2999999999999998</v>
      </c>
      <c r="J128" s="387"/>
      <c r="L128" s="134">
        <f>[1]Планки!H128</f>
        <v>68</v>
      </c>
      <c r="M128" s="134">
        <f>[1]Планки!I128</f>
        <v>1695</v>
      </c>
      <c r="N128" s="134">
        <f>[1]Планки!J128</f>
        <v>250</v>
      </c>
      <c r="O128" s="224">
        <f>[1]Планки!K128</f>
        <v>1445</v>
      </c>
      <c r="P128" s="224">
        <f>[1]Планки!L128</f>
        <v>215</v>
      </c>
      <c r="Q128" s="134">
        <f>[1]Планки!M128</f>
        <v>244</v>
      </c>
      <c r="R128" s="134">
        <f>[1]Планки!N128</f>
        <v>305</v>
      </c>
      <c r="S128" s="224">
        <f>[1]Планки!O128</f>
        <v>38</v>
      </c>
      <c r="T128" s="134">
        <f>[1]Планки!P128</f>
        <v>57</v>
      </c>
      <c r="U128" s="134">
        <f>[1]Планки!Q128</f>
        <v>160</v>
      </c>
      <c r="V128" s="134">
        <f>[1]Планки!R128</f>
        <v>0</v>
      </c>
      <c r="AB128" s="253">
        <f t="shared" si="0"/>
        <v>212.5</v>
      </c>
      <c r="AC128" s="254" t="str">
        <f>IF(COUNTIF(AD$78:AD128,AD128)=1,MAX(AC$78:AC127)+1,"")</f>
        <v/>
      </c>
      <c r="AD128" s="215">
        <f>'[2]Изложницы без бурта'!B128</f>
        <v>102.5</v>
      </c>
      <c r="AE128" s="215">
        <f>'[2]Изложницы без бурта'!C128</f>
        <v>255</v>
      </c>
      <c r="AF128" s="56">
        <f>'[2]Изложницы без бурта'!D128</f>
        <v>185</v>
      </c>
      <c r="AG128" s="56">
        <f>'[2]Изложницы без бурта'!E128</f>
        <v>320</v>
      </c>
      <c r="AH128" s="56" t="str">
        <f>'[2]Изложницы без бурта'!F128</f>
        <v>72.11868 - 2</v>
      </c>
      <c r="AI128" s="56">
        <f>'[2]Изложницы без бурта'!G128</f>
        <v>0</v>
      </c>
      <c r="AJ128" s="56">
        <f>'[2]Изложницы без бурта'!H128</f>
        <v>0</v>
      </c>
      <c r="AK128" s="56">
        <f>'[2]Изложницы без бурта'!I128</f>
        <v>0</v>
      </c>
      <c r="AL128" s="56" t="s">
        <v>568</v>
      </c>
      <c r="AM128" s="56">
        <f>'[2]Изложницы без бурта'!K128</f>
        <v>0</v>
      </c>
      <c r="AR128" s="359">
        <v>520</v>
      </c>
      <c r="AS128" s="359">
        <v>470</v>
      </c>
      <c r="AT128" s="359">
        <v>310</v>
      </c>
      <c r="AU128" s="359">
        <v>255</v>
      </c>
      <c r="AV128" s="359">
        <v>610</v>
      </c>
      <c r="AW128" s="359">
        <v>400</v>
      </c>
      <c r="AX128" s="384" t="s">
        <v>554</v>
      </c>
    </row>
    <row r="129" spans="1:50" ht="15.6" x14ac:dyDescent="0.3">
      <c r="A129" s="297"/>
      <c r="B129" s="300">
        <f>Втулка!N8</f>
        <v>7.5</v>
      </c>
      <c r="C129" s="276" t="s">
        <v>206</v>
      </c>
      <c r="D129" s="293">
        <v>150</v>
      </c>
      <c r="E129" s="293"/>
      <c r="F129" s="293"/>
      <c r="G129" s="294"/>
      <c r="H129" s="291"/>
      <c r="I129" s="387">
        <v>2.4</v>
      </c>
      <c r="J129" s="387"/>
      <c r="L129" s="134">
        <f>[1]Планки!H129</f>
        <v>67</v>
      </c>
      <c r="M129" s="134">
        <f>[1]Планки!I129</f>
        <v>1695</v>
      </c>
      <c r="N129" s="134">
        <f>[1]Планки!J129</f>
        <v>240</v>
      </c>
      <c r="O129" s="224">
        <f>[1]Планки!K129</f>
        <v>1455</v>
      </c>
      <c r="P129" s="224">
        <f>[1]Планки!L129</f>
        <v>220</v>
      </c>
      <c r="Q129" s="134">
        <f>[1]Планки!M129</f>
        <v>240</v>
      </c>
      <c r="R129" s="134">
        <f>[1]Планки!N129</f>
        <v>310</v>
      </c>
      <c r="S129" s="224">
        <f>[1]Планки!O129</f>
        <v>38</v>
      </c>
      <c r="T129" s="134">
        <f>[1]Планки!P129</f>
        <v>55</v>
      </c>
      <c r="U129" s="134">
        <f>[1]Планки!Q129</f>
        <v>150</v>
      </c>
      <c r="V129" s="134">
        <f>[1]Планки!R129</f>
        <v>0</v>
      </c>
      <c r="AB129" s="253">
        <f t="shared" si="0"/>
        <v>215</v>
      </c>
      <c r="AC129" s="254" t="str">
        <f>IF(COUNTIF(AD$78:AD129,AD129)=1,MAX(AC$78:AC128)+1,"")</f>
        <v/>
      </c>
      <c r="AD129" s="215">
        <f>'[2]Изложницы без бурта'!B129</f>
        <v>102.5</v>
      </c>
      <c r="AE129" s="215">
        <f>'[2]Изложницы без бурта'!C129</f>
        <v>253</v>
      </c>
      <c r="AF129" s="56">
        <f>'[2]Изложницы без бурта'!D129</f>
        <v>185</v>
      </c>
      <c r="AG129" s="56">
        <f>'[2]Изложницы без бурта'!E129</f>
        <v>320</v>
      </c>
      <c r="AH129" s="56" t="str">
        <f>'[2]Изложницы без бурта'!F129</f>
        <v>72.11868 - 2</v>
      </c>
      <c r="AI129" s="56">
        <f>'[2]Изложницы без бурта'!G129</f>
        <v>0</v>
      </c>
      <c r="AJ129" s="56">
        <f>'[2]Изложницы без бурта'!H129</f>
        <v>0</v>
      </c>
      <c r="AK129" s="56">
        <f>'[2]Изложницы без бурта'!I129</f>
        <v>0</v>
      </c>
      <c r="AL129" s="56" t="s">
        <v>568</v>
      </c>
      <c r="AM129" s="56">
        <f>'[2]Изложницы без бурта'!K129</f>
        <v>0</v>
      </c>
      <c r="AR129" s="359">
        <v>520</v>
      </c>
      <c r="AS129" s="359">
        <v>470</v>
      </c>
      <c r="AT129" s="359">
        <v>315</v>
      </c>
      <c r="AU129" s="359">
        <v>260</v>
      </c>
      <c r="AV129" s="359">
        <v>610</v>
      </c>
      <c r="AW129" s="359">
        <v>400</v>
      </c>
      <c r="AX129" s="384" t="s">
        <v>554</v>
      </c>
    </row>
    <row r="130" spans="1:50" ht="15.6" x14ac:dyDescent="0.3">
      <c r="A130" s="297"/>
      <c r="B130" s="301">
        <f>IF(Втулка!N3&lt;=1000,2,3)</f>
        <v>2</v>
      </c>
      <c r="C130" s="276" t="s">
        <v>208</v>
      </c>
      <c r="D130" s="293" t="e">
        <f>IF(B130=1,D129,D128)</f>
        <v>#N/A</v>
      </c>
      <c r="E130" s="293"/>
      <c r="F130" s="293"/>
      <c r="G130" s="294"/>
      <c r="H130" s="291"/>
      <c r="I130" s="387">
        <v>2.5</v>
      </c>
      <c r="J130" s="387"/>
      <c r="L130" s="134">
        <f>[1]Планки!H130</f>
        <v>139</v>
      </c>
      <c r="M130" s="134">
        <f>[1]Планки!I130</f>
        <v>1655</v>
      </c>
      <c r="N130" s="134">
        <f>[1]Планки!J130</f>
        <v>260</v>
      </c>
      <c r="O130" s="224">
        <f>[1]Планки!K130</f>
        <v>1395</v>
      </c>
      <c r="P130" s="224">
        <f>[1]Планки!L130</f>
        <v>275</v>
      </c>
      <c r="Q130" s="134">
        <f>[1]Планки!M130</f>
        <v>305</v>
      </c>
      <c r="R130" s="134">
        <f>[1]Планки!N130</f>
        <v>355</v>
      </c>
      <c r="S130" s="224">
        <f>[1]Планки!O130</f>
        <v>70</v>
      </c>
      <c r="T130" s="134">
        <f>[1]Планки!P130</f>
        <v>85</v>
      </c>
      <c r="U130" s="134">
        <f>[1]Планки!Q130</f>
        <v>200</v>
      </c>
      <c r="V130" s="134" t="str">
        <f>[1]Планки!R130</f>
        <v>модель нашита  (H1=1480 h2=1220 L4=40 L5=55 L6=170)</v>
      </c>
      <c r="AB130" s="253">
        <f t="shared" si="0"/>
        <v>217.5</v>
      </c>
      <c r="AC130" s="254">
        <f>IF(COUNTIF(AD$78:AD130,AD130)=1,MAX(AC$78:AC129)+1,"")</f>
        <v>8</v>
      </c>
      <c r="AD130" s="215">
        <f>'[2]Изложницы без бурта'!B130</f>
        <v>105</v>
      </c>
      <c r="AE130" s="215">
        <f>'[2]Изложницы без бурта'!C130</f>
        <v>250</v>
      </c>
      <c r="AF130" s="56">
        <f>'[2]Изложницы без бурта'!D130</f>
        <v>185</v>
      </c>
      <c r="AG130" s="56">
        <f>'[2]Изложницы без бурта'!E130</f>
        <v>320</v>
      </c>
      <c r="AH130" s="56" t="str">
        <f>'[2]Изложницы без бурта'!F130</f>
        <v>72.11868 - 3</v>
      </c>
      <c r="AI130" s="56">
        <f>'[2]Изложницы без бурта'!G130</f>
        <v>0</v>
      </c>
      <c r="AJ130" s="56">
        <f>'[2]Изложницы без бурта'!H130</f>
        <v>0</v>
      </c>
      <c r="AK130" s="56">
        <f>'[2]Изложницы без бурта'!I130</f>
        <v>0</v>
      </c>
      <c r="AL130" s="56" t="s">
        <v>569</v>
      </c>
      <c r="AM130" s="56">
        <f>'[2]Изложницы без бурта'!K130</f>
        <v>0</v>
      </c>
      <c r="AR130" s="359">
        <v>520</v>
      </c>
      <c r="AS130" s="359">
        <v>470</v>
      </c>
      <c r="AT130" s="359">
        <v>340</v>
      </c>
      <c r="AU130" s="359">
        <v>265</v>
      </c>
      <c r="AV130" s="359">
        <v>570</v>
      </c>
      <c r="AW130" s="359">
        <v>400</v>
      </c>
      <c r="AX130" s="384" t="s">
        <v>553</v>
      </c>
    </row>
    <row r="131" spans="1:50" ht="15.6" thickBot="1" x14ac:dyDescent="0.3">
      <c r="A131" s="302"/>
      <c r="B131" s="303" t="e">
        <f>B122*B122*3.1415926*B128*B129/4000000+(B125*B125*3.1415926*B128*B129*B130/4000000)</f>
        <v>#N/A</v>
      </c>
      <c r="C131" s="304" t="e">
        <f>C128+E124+B125</f>
        <v>#N/A</v>
      </c>
      <c r="D131" s="303" t="e">
        <f>D124*D126*D130*B129/1000000/360*180</f>
        <v>#N/A</v>
      </c>
      <c r="E131" s="303"/>
      <c r="F131" s="303"/>
      <c r="G131" s="305" t="e">
        <f>B131+D131+F128</f>
        <v>#N/A</v>
      </c>
      <c r="H131" s="291"/>
      <c r="I131" s="387">
        <v>2.6</v>
      </c>
      <c r="J131" s="387"/>
      <c r="L131" s="134">
        <f>[1]Планки!H131</f>
        <v>0</v>
      </c>
      <c r="M131" s="134">
        <f>[1]Планки!I131</f>
        <v>0</v>
      </c>
      <c r="N131" s="134">
        <f>[1]Планки!J131</f>
        <v>0</v>
      </c>
      <c r="O131" s="224">
        <f>[1]Планки!K131</f>
        <v>0</v>
      </c>
      <c r="P131" s="224">
        <f>[1]Планки!L131</f>
        <v>0</v>
      </c>
      <c r="Q131" s="134">
        <f>[1]Планки!M131</f>
        <v>0</v>
      </c>
      <c r="R131" s="134">
        <f>[1]Планки!N131</f>
        <v>0</v>
      </c>
      <c r="S131" s="224">
        <f>[1]Планки!O131</f>
        <v>0</v>
      </c>
      <c r="T131" s="134">
        <f>[1]Планки!P131</f>
        <v>0</v>
      </c>
      <c r="U131" s="134">
        <f>[1]Планки!Q131</f>
        <v>0</v>
      </c>
      <c r="V131" s="134">
        <f>[1]Планки!R131</f>
        <v>0</v>
      </c>
      <c r="AB131" s="253">
        <f t="shared" si="0"/>
        <v>220</v>
      </c>
      <c r="AC131" s="254" t="str">
        <f>IF(COUNTIF(AD$78:AD131,AD131)=1,MAX(AC$78:AC130)+1,"")</f>
        <v/>
      </c>
      <c r="AD131" s="215">
        <f>'[2]Изложницы без бурта'!B131</f>
        <v>105</v>
      </c>
      <c r="AE131" s="215">
        <f>'[2]Изложницы без бурта'!C131</f>
        <v>255</v>
      </c>
      <c r="AF131" s="56">
        <f>'[2]Изложницы без бурта'!D131</f>
        <v>185</v>
      </c>
      <c r="AG131" s="56">
        <f>'[2]Изложницы без бурта'!E131</f>
        <v>320</v>
      </c>
      <c r="AH131" s="56" t="str">
        <f>'[2]Изложницы без бурта'!F131</f>
        <v>72.11868 - 3</v>
      </c>
      <c r="AI131" s="56">
        <f>'[2]Изложницы без бурта'!G131</f>
        <v>0</v>
      </c>
      <c r="AJ131" s="56">
        <f>'[2]Изложницы без бурта'!H131</f>
        <v>0</v>
      </c>
      <c r="AK131" s="56">
        <f>'[2]Изложницы без бурта'!I131</f>
        <v>0</v>
      </c>
      <c r="AL131" s="56" t="s">
        <v>569</v>
      </c>
      <c r="AM131" s="56">
        <f>'[2]Изложницы без бурта'!K131</f>
        <v>0</v>
      </c>
      <c r="AR131" s="359">
        <v>520</v>
      </c>
      <c r="AS131" s="359">
        <v>470</v>
      </c>
      <c r="AT131" s="359">
        <v>340</v>
      </c>
      <c r="AU131" s="359">
        <v>265</v>
      </c>
      <c r="AV131" s="359">
        <v>570</v>
      </c>
      <c r="AW131" s="359">
        <v>400</v>
      </c>
      <c r="AX131" s="384" t="s">
        <v>553</v>
      </c>
    </row>
    <row r="132" spans="1:50" ht="15.6" thickBot="1" x14ac:dyDescent="0.3">
      <c r="A132" s="291"/>
      <c r="B132" s="291"/>
      <c r="C132" s="309"/>
      <c r="D132" s="291"/>
      <c r="E132" s="291"/>
      <c r="F132" s="291"/>
      <c r="G132" s="291"/>
      <c r="H132" s="291"/>
      <c r="I132" s="387">
        <v>2.7</v>
      </c>
      <c r="J132" s="387"/>
      <c r="AB132" s="253">
        <f t="shared" si="0"/>
        <v>222.5</v>
      </c>
      <c r="AC132" s="254" t="str">
        <f>IF(COUNTIF(AD$78:AD132,AD132)=1,MAX(AC$78:AC131)+1,"")</f>
        <v/>
      </c>
      <c r="AD132" s="215">
        <f>'[2]Изложницы без бурта'!B132</f>
        <v>105</v>
      </c>
      <c r="AE132" s="215">
        <f>'[2]Изложницы без бурта'!C132</f>
        <v>260</v>
      </c>
      <c r="AF132" s="56">
        <f>'[2]Изложницы без бурта'!D132</f>
        <v>185</v>
      </c>
      <c r="AG132" s="56">
        <f>'[2]Изложницы без бурта'!E132</f>
        <v>320</v>
      </c>
      <c r="AH132" s="56" t="str">
        <f>'[2]Изложницы без бурта'!F132</f>
        <v>72.11868 - 3</v>
      </c>
      <c r="AI132" s="56">
        <f>'[2]Изложницы без бурта'!G132</f>
        <v>0</v>
      </c>
      <c r="AJ132" s="56">
        <f>'[2]Изложницы без бурта'!H132</f>
        <v>0</v>
      </c>
      <c r="AK132" s="56">
        <f>'[2]Изложницы без бурта'!I132</f>
        <v>0</v>
      </c>
      <c r="AL132" s="56" t="s">
        <v>569</v>
      </c>
      <c r="AM132" s="56">
        <f>'[2]Изложницы без бурта'!K132</f>
        <v>0</v>
      </c>
      <c r="AR132" s="359">
        <v>510</v>
      </c>
      <c r="AS132" s="359">
        <v>470</v>
      </c>
      <c r="AT132" s="359">
        <v>350</v>
      </c>
      <c r="AU132" s="359">
        <v>290</v>
      </c>
      <c r="AV132" s="368">
        <v>550</v>
      </c>
      <c r="AW132" s="359">
        <v>400</v>
      </c>
      <c r="AX132" s="384" t="s">
        <v>555</v>
      </c>
    </row>
    <row r="133" spans="1:50" ht="15" thickBot="1" x14ac:dyDescent="0.3">
      <c r="H133" s="310"/>
      <c r="I133" s="387">
        <v>2.8</v>
      </c>
      <c r="J133" s="387"/>
      <c r="L133" s="864" t="s">
        <v>344</v>
      </c>
      <c r="M133" s="865" t="s">
        <v>342</v>
      </c>
      <c r="N133" s="866" t="s">
        <v>347</v>
      </c>
      <c r="O133" s="865" t="s">
        <v>343</v>
      </c>
      <c r="P133" s="865"/>
      <c r="Q133" s="865" t="s">
        <v>345</v>
      </c>
      <c r="R133" s="1524">
        <f>Планка!E29</f>
        <v>1133</v>
      </c>
      <c r="AB133" s="253">
        <f t="shared" si="0"/>
        <v>225</v>
      </c>
      <c r="AC133" s="254" t="str">
        <f>IF(COUNTIF(AD$78:AD133,AD133)=1,MAX(AC$78:AC132)+1,"")</f>
        <v/>
      </c>
      <c r="AD133" s="215">
        <f>'[2]Изложницы без бурта'!B133</f>
        <v>105</v>
      </c>
      <c r="AE133" s="215">
        <f>'[2]Изложницы без бурта'!C133</f>
        <v>260</v>
      </c>
      <c r="AF133" s="56">
        <f>'[2]Изложницы без бурта'!D133</f>
        <v>185</v>
      </c>
      <c r="AG133" s="56">
        <f>'[2]Изложницы без бурта'!E133</f>
        <v>320</v>
      </c>
      <c r="AH133" s="56" t="str">
        <f>'[2]Изложницы без бурта'!F133</f>
        <v>72.11868 - 3</v>
      </c>
      <c r="AI133" s="56">
        <f>'[2]Изложницы без бурта'!H133</f>
        <v>0</v>
      </c>
      <c r="AJ133" s="56">
        <f>'[2]Изложницы без бурта'!I133</f>
        <v>0</v>
      </c>
      <c r="AK133" s="56">
        <f>'[2]Изложницы без бурта'!J133</f>
        <v>0</v>
      </c>
      <c r="AL133" s="56" t="s">
        <v>570</v>
      </c>
      <c r="AR133" s="359">
        <v>500</v>
      </c>
      <c r="AS133" s="359">
        <v>480</v>
      </c>
      <c r="AT133" s="359">
        <v>825</v>
      </c>
      <c r="AU133" s="359">
        <v>740</v>
      </c>
      <c r="AV133" s="359">
        <v>550</v>
      </c>
      <c r="AW133" s="359">
        <v>400</v>
      </c>
      <c r="AX133" s="384" t="s">
        <v>556</v>
      </c>
    </row>
    <row r="134" spans="1:50" ht="15" thickBot="1" x14ac:dyDescent="0.3">
      <c r="A134" s="1528"/>
      <c r="B134" s="922" t="s">
        <v>221</v>
      </c>
      <c r="C134" s="1529"/>
      <c r="D134" s="922"/>
      <c r="E134" s="922"/>
      <c r="F134" s="976"/>
      <c r="H134" s="234"/>
      <c r="I134" s="387">
        <v>2.9</v>
      </c>
      <c r="J134" s="387"/>
      <c r="L134" s="867" t="s">
        <v>454</v>
      </c>
      <c r="M134" s="868" t="b">
        <f>Планка!M8&lt;=300</f>
        <v>0</v>
      </c>
      <c r="N134" s="869">
        <v>5</v>
      </c>
      <c r="O134" s="868">
        <v>2.5</v>
      </c>
      <c r="P134" s="868"/>
      <c r="Q134" s="868" t="s">
        <v>346</v>
      </c>
      <c r="R134" s="870">
        <f>Планка!I33+Данные!E38*2</f>
        <v>88</v>
      </c>
      <c r="AB134" s="253">
        <f t="shared" si="0"/>
        <v>227.5</v>
      </c>
      <c r="AC134" s="254">
        <f>IF(COUNTIF(AD$78:AD134,AD134)=1,MAX(AC$78:AC133)+1,"")</f>
        <v>9</v>
      </c>
      <c r="AD134" s="215">
        <f>'[2]Изложницы без бурта'!B134</f>
        <v>107.5</v>
      </c>
      <c r="AE134" s="215">
        <f>'[2]Изложницы без бурта'!C134</f>
        <v>250</v>
      </c>
      <c r="AF134" s="56">
        <f>'[2]Изложницы без бурта'!D134</f>
        <v>185</v>
      </c>
      <c r="AG134" s="56">
        <f>'[2]Изложницы без бурта'!E134</f>
        <v>320</v>
      </c>
      <c r="AH134" s="56" t="str">
        <f>'[2]Изложницы без бурта'!F134</f>
        <v>72.11868 - 4</v>
      </c>
      <c r="AI134" s="56">
        <f>'[2]Изложницы без бурта'!H134</f>
        <v>0</v>
      </c>
      <c r="AJ134" s="56">
        <f>'[2]Изложницы без бурта'!I134</f>
        <v>0</v>
      </c>
      <c r="AK134" s="56">
        <f>'[2]Изложницы без бурта'!J134</f>
        <v>0</v>
      </c>
      <c r="AL134" s="56" t="s">
        <v>571</v>
      </c>
      <c r="AR134" s="359">
        <v>508</v>
      </c>
      <c r="AS134" s="359">
        <v>490</v>
      </c>
      <c r="AT134" s="359">
        <v>140</v>
      </c>
      <c r="AU134" s="359">
        <v>90</v>
      </c>
      <c r="AV134" s="359">
        <v>570</v>
      </c>
      <c r="AW134" s="359">
        <v>400</v>
      </c>
      <c r="AX134" s="384" t="s">
        <v>557</v>
      </c>
    </row>
    <row r="135" spans="1:50" ht="17.399999999999999" x14ac:dyDescent="0.3">
      <c r="A135" s="223"/>
      <c r="B135" s="317"/>
      <c r="C135" s="1526" t="s">
        <v>222</v>
      </c>
      <c r="D135" s="1526"/>
      <c r="E135" s="1526" t="s">
        <v>223</v>
      </c>
      <c r="F135" s="1527"/>
      <c r="H135" s="313"/>
      <c r="I135" s="387">
        <v>3</v>
      </c>
      <c r="J135" s="387"/>
      <c r="L135" s="223">
        <f>IF(B38=FALSE,ROUNDUP(R134*R135,0),L137)</f>
        <v>330</v>
      </c>
      <c r="M135" s="868" t="b">
        <f>AND(301&lt;Планка!M8,Планка!M8&lt;=600)</f>
        <v>0</v>
      </c>
      <c r="N135" s="869">
        <v>6</v>
      </c>
      <c r="O135" s="868">
        <v>3</v>
      </c>
      <c r="P135" s="868"/>
      <c r="Q135" s="868"/>
      <c r="R135" s="870">
        <f>VLOOKUP(TRUE,M134:O140,3,FALSE)</f>
        <v>3.75</v>
      </c>
      <c r="AB135" s="253">
        <f t="shared" si="0"/>
        <v>230</v>
      </c>
      <c r="AC135" s="254" t="str">
        <f>IF(COUNTIF(AD$78:AD135,AD135)=1,MAX(AC$78:AC134)+1,"")</f>
        <v/>
      </c>
      <c r="AD135" s="215">
        <f>'[2]Изложницы без бурта'!B135</f>
        <v>107.5</v>
      </c>
      <c r="AE135" s="215">
        <f>'[2]Изложницы без бурта'!C135</f>
        <v>255</v>
      </c>
      <c r="AF135" s="56">
        <f>'[2]Изложницы без бурта'!D135</f>
        <v>185</v>
      </c>
      <c r="AG135" s="56">
        <f>'[2]Изложницы без бурта'!E135</f>
        <v>320</v>
      </c>
      <c r="AH135" s="56" t="str">
        <f>'[2]Изложницы без бурта'!F135</f>
        <v>72.11868 - 4</v>
      </c>
      <c r="AI135" s="56">
        <f>'[2]Изложницы без бурта'!H135</f>
        <v>0</v>
      </c>
      <c r="AJ135" s="56">
        <f>'[2]Изложницы без бурта'!I135</f>
        <v>0</v>
      </c>
      <c r="AK135" s="56">
        <f>'[2]Изложницы без бурта'!J135</f>
        <v>0</v>
      </c>
      <c r="AL135" s="56" t="s">
        <v>572</v>
      </c>
      <c r="AR135" s="359">
        <v>507</v>
      </c>
      <c r="AS135" s="359">
        <v>490</v>
      </c>
      <c r="AT135" s="359">
        <v>140</v>
      </c>
      <c r="AU135" s="359">
        <v>90</v>
      </c>
      <c r="AV135" s="359">
        <v>570</v>
      </c>
      <c r="AW135" s="359">
        <v>400</v>
      </c>
      <c r="AX135" s="384" t="s">
        <v>557</v>
      </c>
    </row>
    <row r="136" spans="1:50" ht="14.4" x14ac:dyDescent="0.25">
      <c r="A136" s="223"/>
      <c r="B136" s="314" t="s">
        <v>225</v>
      </c>
      <c r="C136" s="315" t="s">
        <v>244</v>
      </c>
      <c r="D136" s="315" t="s">
        <v>224</v>
      </c>
      <c r="E136" s="315" t="s">
        <v>244</v>
      </c>
      <c r="F136" s="316" t="s">
        <v>224</v>
      </c>
      <c r="H136" s="234"/>
      <c r="I136" s="387">
        <v>3.1</v>
      </c>
      <c r="J136" s="387"/>
      <c r="L136" s="223" t="s">
        <v>753</v>
      </c>
      <c r="M136" s="868" t="b">
        <f>AND(601&lt;Планка!M8,Планка!M8&lt;=1000)</f>
        <v>0</v>
      </c>
      <c r="N136" s="869">
        <v>8</v>
      </c>
      <c r="O136" s="868">
        <v>3.5</v>
      </c>
      <c r="P136" s="868"/>
      <c r="Q136" s="868"/>
      <c r="R136" s="870"/>
      <c r="AB136" s="253">
        <f t="shared" si="0"/>
        <v>232.5</v>
      </c>
      <c r="AC136" s="254" t="str">
        <f>IF(COUNTIF(AD$78:AD136,AD136)=1,MAX(AC$78:AC135)+1,"")</f>
        <v/>
      </c>
      <c r="AD136" s="215">
        <f>'[2]Изложницы без бурта'!B136</f>
        <v>107.5</v>
      </c>
      <c r="AE136" s="215">
        <f>'[2]Изложницы без бурта'!C136</f>
        <v>255</v>
      </c>
      <c r="AF136" s="56">
        <f>'[2]Изложницы без бурта'!D136</f>
        <v>185</v>
      </c>
      <c r="AG136" s="56">
        <f>'[2]Изложницы без бурта'!E136</f>
        <v>320</v>
      </c>
      <c r="AH136" s="56" t="str">
        <f>'[2]Изложницы без бурта'!F136</f>
        <v>72.11868 - 4</v>
      </c>
      <c r="AI136" s="56">
        <f>'[2]Изложницы без бурта'!H136</f>
        <v>0</v>
      </c>
      <c r="AJ136" s="56">
        <f>'[2]Изложницы без бурта'!I136</f>
        <v>0</v>
      </c>
      <c r="AK136" s="56">
        <f>'[2]Изложницы без бурта'!J136</f>
        <v>0</v>
      </c>
      <c r="AL136" s="56" t="s">
        <v>572</v>
      </c>
      <c r="AR136" s="359">
        <v>507</v>
      </c>
      <c r="AS136" s="359">
        <v>490</v>
      </c>
      <c r="AT136" s="359">
        <v>137</v>
      </c>
      <c r="AU136" s="359">
        <v>90</v>
      </c>
      <c r="AV136" s="359">
        <v>570</v>
      </c>
      <c r="AW136" s="359">
        <v>400</v>
      </c>
      <c r="AX136" s="384" t="s">
        <v>557</v>
      </c>
    </row>
    <row r="137" spans="1:50" ht="15" thickBot="1" x14ac:dyDescent="0.3">
      <c r="A137" s="223">
        <v>1</v>
      </c>
      <c r="B137" s="317" t="s">
        <v>226</v>
      </c>
      <c r="C137" s="1505" t="s">
        <v>245</v>
      </c>
      <c r="D137" s="1505">
        <v>0.5</v>
      </c>
      <c r="E137" s="1505" t="s">
        <v>251</v>
      </c>
      <c r="F137" s="318">
        <v>1</v>
      </c>
      <c r="H137" s="234"/>
      <c r="I137" s="387">
        <v>3.2</v>
      </c>
      <c r="J137" s="387"/>
      <c r="L137" s="223">
        <f>ROUNDUP(R134*R135*0.841,0)</f>
        <v>278</v>
      </c>
      <c r="M137" s="868" t="b">
        <f>AND(1001&lt;Планка!M8,Планка!M8&lt;=1200)</f>
        <v>1</v>
      </c>
      <c r="N137" s="869">
        <v>8</v>
      </c>
      <c r="O137" s="868">
        <v>3.75</v>
      </c>
      <c r="P137" s="868"/>
      <c r="Q137" s="868"/>
      <c r="R137" s="870"/>
      <c r="AB137" s="253">
        <f t="shared" si="0"/>
        <v>235</v>
      </c>
      <c r="AC137" s="254" t="str">
        <f>IF(COUNTIF(AD$78:AD137,AD137)=1,MAX(AC$78:AC136)+1,"")</f>
        <v/>
      </c>
      <c r="AD137" s="215">
        <f>'[2]Изложницы без бурта'!B137</f>
        <v>107.5</v>
      </c>
      <c r="AE137" s="215">
        <f>'[2]Изложницы без бурта'!C137</f>
        <v>257</v>
      </c>
      <c r="AF137" s="56">
        <f>'[2]Изложницы без бурта'!D137</f>
        <v>185</v>
      </c>
      <c r="AG137" s="56">
        <f>'[2]Изложницы без бурта'!E137</f>
        <v>320</v>
      </c>
      <c r="AH137" s="56" t="str">
        <f>'[2]Изложницы без бурта'!F137</f>
        <v>72.11868 - 4</v>
      </c>
      <c r="AI137" s="56">
        <f>'[2]Изложницы без бурта'!H137</f>
        <v>0</v>
      </c>
      <c r="AJ137" s="56">
        <f>'[2]Изложницы без бурта'!I137</f>
        <v>0</v>
      </c>
      <c r="AK137" s="56">
        <f>'[2]Изложницы без бурта'!J137</f>
        <v>0</v>
      </c>
      <c r="AL137" s="56" t="s">
        <v>573</v>
      </c>
      <c r="AR137" s="359">
        <v>508</v>
      </c>
      <c r="AS137" s="359">
        <v>490</v>
      </c>
      <c r="AT137" s="359">
        <v>140</v>
      </c>
      <c r="AU137" s="360">
        <v>87</v>
      </c>
      <c r="AV137" s="359">
        <v>570</v>
      </c>
      <c r="AW137" s="359">
        <v>400</v>
      </c>
      <c r="AX137" s="384" t="s">
        <v>557</v>
      </c>
    </row>
    <row r="138" spans="1:50" ht="15" thickBot="1" x14ac:dyDescent="0.3">
      <c r="A138" s="223">
        <v>2</v>
      </c>
      <c r="B138" s="317" t="s">
        <v>227</v>
      </c>
      <c r="C138" s="1505" t="s">
        <v>246</v>
      </c>
      <c r="D138" s="1505">
        <v>1</v>
      </c>
      <c r="E138" s="1505" t="s">
        <v>245</v>
      </c>
      <c r="F138" s="318">
        <v>1.3</v>
      </c>
      <c r="H138" s="234"/>
      <c r="I138" s="387">
        <v>3.3</v>
      </c>
      <c r="J138" s="387"/>
      <c r="L138" s="223" t="s">
        <v>754</v>
      </c>
      <c r="M138" s="868" t="b">
        <f>AND(1201&lt;Планка!M8,Планка!M8&lt;=1350)</f>
        <v>0</v>
      </c>
      <c r="N138" s="869">
        <v>9</v>
      </c>
      <c r="O138" s="868">
        <v>4</v>
      </c>
      <c r="P138" s="868"/>
      <c r="Q138" s="868"/>
      <c r="R138" s="870"/>
      <c r="AB138" s="253">
        <f t="shared" si="0"/>
        <v>237.5</v>
      </c>
      <c r="AC138" s="254" t="str">
        <f>IF(COUNTIF(AD$78:AD138,AD138)=1,MAX(AC$78:AC137)+1,"")</f>
        <v/>
      </c>
      <c r="AD138" s="215">
        <f>'[2]Изложницы без бурта'!B138</f>
        <v>107.5</v>
      </c>
      <c r="AE138" s="215">
        <f>'[2]Изложницы без бурта'!C138</f>
        <v>260</v>
      </c>
      <c r="AF138" s="56">
        <f>'[2]Изложницы без бурта'!D138</f>
        <v>185</v>
      </c>
      <c r="AG138" s="56">
        <f>'[2]Изложницы без бурта'!E138</f>
        <v>320</v>
      </c>
      <c r="AH138" s="56" t="str">
        <f>'[2]Изложницы без бурта'!F138</f>
        <v>72.11868 - 4</v>
      </c>
      <c r="AI138" s="56">
        <f>'[2]Изложницы без бурта'!H138</f>
        <v>0</v>
      </c>
      <c r="AJ138" s="56">
        <f>'[2]Изложницы без бурта'!I138</f>
        <v>0</v>
      </c>
      <c r="AK138" s="56">
        <f>'[2]Изложницы без бурта'!J138</f>
        <v>0</v>
      </c>
      <c r="AL138" s="56" t="s">
        <v>570</v>
      </c>
      <c r="AR138" s="359">
        <v>575</v>
      </c>
      <c r="AS138" s="359">
        <v>507.5</v>
      </c>
      <c r="AT138" s="366">
        <v>490</v>
      </c>
      <c r="AU138" s="367">
        <v>420</v>
      </c>
      <c r="AV138" s="368">
        <v>640</v>
      </c>
      <c r="AW138" s="359">
        <v>400</v>
      </c>
      <c r="AX138" s="384" t="s">
        <v>516</v>
      </c>
    </row>
    <row r="139" spans="1:50" ht="15" thickBot="1" x14ac:dyDescent="0.3">
      <c r="A139" s="223">
        <v>3</v>
      </c>
      <c r="B139" s="317" t="s">
        <v>228</v>
      </c>
      <c r="C139" s="1505" t="s">
        <v>247</v>
      </c>
      <c r="D139" s="1505">
        <v>1.3</v>
      </c>
      <c r="E139" s="1505" t="s">
        <v>246</v>
      </c>
      <c r="F139" s="318">
        <v>1.7</v>
      </c>
      <c r="H139" s="234"/>
      <c r="I139" s="387">
        <v>3.4</v>
      </c>
      <c r="J139" s="387"/>
      <c r="L139" s="223"/>
      <c r="M139" s="868" t="b">
        <f>AND(1351&lt;Планка!M8,Планка!M8&lt;=1500)</f>
        <v>0</v>
      </c>
      <c r="N139" s="869">
        <v>10</v>
      </c>
      <c r="O139" s="868">
        <v>5</v>
      </c>
      <c r="P139" s="868"/>
      <c r="Q139" s="868"/>
      <c r="R139" s="870"/>
      <c r="AB139" s="253">
        <f t="shared" si="0"/>
        <v>240</v>
      </c>
      <c r="AC139" s="254" t="str">
        <f>IF(COUNTIF(AD$78:AD139,AD139)=1,MAX(AC$78:AC138)+1,"")</f>
        <v/>
      </c>
      <c r="AD139" s="215">
        <f>'[2]Изложницы без бурта'!B139</f>
        <v>107.5</v>
      </c>
      <c r="AE139" s="215">
        <f>'[2]Изложницы без бурта'!C139</f>
        <v>257</v>
      </c>
      <c r="AF139" s="56">
        <f>'[2]Изложницы без бурта'!D139</f>
        <v>185</v>
      </c>
      <c r="AG139" s="56">
        <f>'[2]Изложницы без бурта'!E139</f>
        <v>320</v>
      </c>
      <c r="AH139" s="56" t="str">
        <f>'[2]Изложницы без бурта'!F139</f>
        <v>72.11868 - 4</v>
      </c>
      <c r="AI139" s="56">
        <f>'[2]Изложницы без бурта'!H139</f>
        <v>0</v>
      </c>
      <c r="AJ139" s="56">
        <f>'[2]Изложницы без бурта'!I139</f>
        <v>0</v>
      </c>
      <c r="AK139" s="56">
        <f>'[2]Изложницы без бурта'!J139</f>
        <v>0</v>
      </c>
      <c r="AL139" s="56" t="s">
        <v>573</v>
      </c>
      <c r="AR139" s="359">
        <v>575</v>
      </c>
      <c r="AS139" s="359">
        <v>510</v>
      </c>
      <c r="AT139" s="366">
        <v>490</v>
      </c>
      <c r="AU139" s="367">
        <v>420</v>
      </c>
      <c r="AV139" s="368">
        <v>640</v>
      </c>
      <c r="AW139" s="359">
        <v>400</v>
      </c>
      <c r="AX139" s="384" t="s">
        <v>517</v>
      </c>
    </row>
    <row r="140" spans="1:50" ht="15" thickBot="1" x14ac:dyDescent="0.3">
      <c r="A140" s="223">
        <v>4</v>
      </c>
      <c r="B140" s="317" t="s">
        <v>229</v>
      </c>
      <c r="C140" s="1505" t="s">
        <v>248</v>
      </c>
      <c r="D140" s="1505">
        <v>1.7</v>
      </c>
      <c r="E140" s="1505" t="s">
        <v>247</v>
      </c>
      <c r="F140" s="318">
        <v>2.5</v>
      </c>
      <c r="H140" s="234"/>
      <c r="I140" s="387">
        <v>3.5</v>
      </c>
      <c r="J140" s="387"/>
      <c r="L140" s="306">
        <f>IF(OR(B38=TRUE,B42=TRUE),L137,L135)</f>
        <v>330</v>
      </c>
      <c r="M140" s="871" t="b">
        <f>AND(1501&lt;Планка!M8,Планка!M8&lt;=1900)</f>
        <v>0</v>
      </c>
      <c r="N140" s="872">
        <v>12</v>
      </c>
      <c r="O140" s="871">
        <v>5.5</v>
      </c>
      <c r="P140" s="871"/>
      <c r="Q140" s="871"/>
      <c r="R140" s="873"/>
      <c r="AB140" s="253">
        <f t="shared" si="0"/>
        <v>242.5</v>
      </c>
      <c r="AC140" s="254" t="str">
        <f>IF(COUNTIF(AD$78:AD140,AD140)=1,MAX(AC$78:AC139)+1,"")</f>
        <v/>
      </c>
      <c r="AD140" s="215">
        <f>'[2]Изложницы без бурта'!B140</f>
        <v>107.5</v>
      </c>
      <c r="AE140" s="215">
        <f>'[2]Изложницы без бурта'!C140</f>
        <v>257</v>
      </c>
      <c r="AF140" s="56">
        <f>'[2]Изложницы без бурта'!D140</f>
        <v>185</v>
      </c>
      <c r="AG140" s="56">
        <f>'[2]Изложницы без бурта'!E140</f>
        <v>320</v>
      </c>
      <c r="AH140" s="56" t="str">
        <f>'[2]Изложницы без бурта'!F140</f>
        <v>72.11868 - 4</v>
      </c>
      <c r="AI140" s="56">
        <f>'[2]Изложницы без бурта'!H140</f>
        <v>0</v>
      </c>
      <c r="AJ140" s="56">
        <f>'[2]Изложницы без бурта'!I140</f>
        <v>0</v>
      </c>
      <c r="AK140" s="56">
        <f>'[2]Изложницы без бурта'!J140</f>
        <v>0</v>
      </c>
      <c r="AL140" s="56" t="s">
        <v>573</v>
      </c>
      <c r="AR140" s="359">
        <v>583</v>
      </c>
      <c r="AS140" s="359">
        <v>512.5</v>
      </c>
      <c r="AT140" s="359">
        <v>490</v>
      </c>
      <c r="AU140" s="358">
        <v>420</v>
      </c>
      <c r="AV140" s="368">
        <v>640</v>
      </c>
      <c r="AW140" s="359">
        <v>400</v>
      </c>
      <c r="AX140" s="384" t="s">
        <v>518</v>
      </c>
    </row>
    <row r="141" spans="1:50" ht="15" thickBot="1" x14ac:dyDescent="0.3">
      <c r="A141" s="223">
        <v>5</v>
      </c>
      <c r="B141" s="317" t="s">
        <v>230</v>
      </c>
      <c r="C141" s="1505" t="s">
        <v>248</v>
      </c>
      <c r="D141" s="1505">
        <v>2</v>
      </c>
      <c r="E141" s="1505" t="s">
        <v>248</v>
      </c>
      <c r="F141" s="318">
        <v>3</v>
      </c>
      <c r="H141" s="234"/>
      <c r="I141" s="387">
        <v>3.6</v>
      </c>
      <c r="J141" s="387"/>
      <c r="AB141" s="253">
        <f t="shared" si="0"/>
        <v>245</v>
      </c>
      <c r="AC141" s="254" t="str">
        <f>IF(COUNTIF(AD$78:AD141,AD141)=1,MAX(AC$78:AC140)+1,"")</f>
        <v/>
      </c>
      <c r="AD141" s="215">
        <f>'[2]Изложницы без бурта'!B141</f>
        <v>107.5</v>
      </c>
      <c r="AE141" s="215">
        <f>'[2]Изложницы без бурта'!C141</f>
        <v>255</v>
      </c>
      <c r="AF141" s="56">
        <f>'[2]Изложницы без бурта'!D141</f>
        <v>185</v>
      </c>
      <c r="AG141" s="56">
        <f>'[2]Изложницы без бурта'!E141</f>
        <v>320</v>
      </c>
      <c r="AH141" s="56" t="str">
        <f>'[2]Изложницы без бурта'!F141</f>
        <v>72.11868 - 4</v>
      </c>
      <c r="AI141" s="56">
        <f>'[2]Изложницы без бурта'!G141</f>
        <v>0</v>
      </c>
      <c r="AJ141" s="56">
        <f>'[2]Изложницы без бурта'!H141</f>
        <v>0</v>
      </c>
      <c r="AK141" s="56">
        <f>'[2]Изложницы без бурта'!I141</f>
        <v>0</v>
      </c>
      <c r="AL141" s="56" t="s">
        <v>574</v>
      </c>
      <c r="AM141" s="56">
        <f>'[2]Изложницы без бурта'!K141</f>
        <v>0</v>
      </c>
      <c r="AR141" s="359">
        <v>561</v>
      </c>
      <c r="AS141" s="359">
        <v>530</v>
      </c>
      <c r="AT141" s="359">
        <v>403</v>
      </c>
      <c r="AU141" s="359">
        <v>345</v>
      </c>
      <c r="AV141" s="368">
        <v>640</v>
      </c>
      <c r="AW141" s="359">
        <v>400</v>
      </c>
      <c r="AX141" s="384" t="s">
        <v>558</v>
      </c>
    </row>
    <row r="142" spans="1:50" ht="15.6" x14ac:dyDescent="0.3">
      <c r="A142" s="223">
        <v>6</v>
      </c>
      <c r="B142" s="317" t="s">
        <v>231</v>
      </c>
      <c r="C142" s="1505" t="s">
        <v>249</v>
      </c>
      <c r="D142" s="1505">
        <v>2.5</v>
      </c>
      <c r="E142" s="1505" t="s">
        <v>248</v>
      </c>
      <c r="F142" s="318">
        <v>3.5</v>
      </c>
      <c r="H142" s="234"/>
      <c r="I142" s="387">
        <v>3.7</v>
      </c>
      <c r="J142" s="387"/>
      <c r="K142" s="864" t="s">
        <v>953</v>
      </c>
      <c r="L142" s="878" t="s">
        <v>391</v>
      </c>
      <c r="M142" s="879">
        <f>IF(OR('цб с буртом'!N9=7.5,'цб с буртом'!N9=7.6,'цб с буртом'!N9=7.7,'цб с буртом'!N9=7.8,'цб с буртом'!N9=7.9,'цб с буртом'!N9=8,'цб с буртом'!N9=8.1),1,IF('цб с буртом'!N9=8.5,2,3))</f>
        <v>3</v>
      </c>
      <c r="N142" s="1005">
        <f>HLOOKUP(TRUE,K147:S148,2,FALSE)</f>
        <v>20</v>
      </c>
      <c r="O142" s="775">
        <f>HLOOKUP(TRUE,K146:S148,3,FALSE)</f>
        <v>80</v>
      </c>
      <c r="P142" s="1794" t="s">
        <v>958</v>
      </c>
      <c r="Q142" s="1794"/>
      <c r="R142" s="1794"/>
      <c r="S142" s="1794"/>
      <c r="T142" s="894" t="s">
        <v>936</v>
      </c>
      <c r="U142" s="886" t="s">
        <v>940</v>
      </c>
      <c r="V142" s="885"/>
      <c r="W142" s="887"/>
      <c r="X142" s="888" t="s">
        <v>938</v>
      </c>
      <c r="Y142" s="901">
        <f>_xlfn.FLOOR.MATH('цб с буртом'!N6-(S144*2),2.5)</f>
        <v>145</v>
      </c>
      <c r="Z142" s="889"/>
      <c r="AB142" s="253">
        <f t="shared" si="0"/>
        <v>247.5</v>
      </c>
      <c r="AC142" s="254" t="str">
        <f>IF(COUNTIF(AD$78:AD142,AD142)=1,MAX(AC$78:AC141)+1,"")</f>
        <v/>
      </c>
      <c r="AD142" s="215">
        <f>'[2]Изложницы без бурта'!B142</f>
        <v>107.5</v>
      </c>
      <c r="AE142" s="215">
        <f>'[2]Изложницы без бурта'!C142</f>
        <v>260</v>
      </c>
      <c r="AF142" s="56">
        <f>'[2]Изложницы без бурта'!D142</f>
        <v>185</v>
      </c>
      <c r="AG142" s="56">
        <f>'[2]Изложницы без бурта'!E142</f>
        <v>320</v>
      </c>
      <c r="AH142" s="56" t="str">
        <f>'[2]Изложницы без бурта'!F142</f>
        <v>72.11868 - 4</v>
      </c>
      <c r="AI142" s="56">
        <f>'[2]Изложницы без бурта'!G142</f>
        <v>0</v>
      </c>
      <c r="AJ142" s="56">
        <f>'[2]Изложницы без бурта'!H142</f>
        <v>0</v>
      </c>
      <c r="AK142" s="56">
        <f>'[2]Изложницы без бурта'!I142</f>
        <v>0</v>
      </c>
      <c r="AL142" s="56" t="s">
        <v>574</v>
      </c>
      <c r="AM142" s="56">
        <f>'[2]Изложницы без бурта'!K142</f>
        <v>0</v>
      </c>
      <c r="AR142" s="359">
        <v>563</v>
      </c>
      <c r="AS142" s="359">
        <v>540</v>
      </c>
      <c r="AT142" s="359">
        <v>360</v>
      </c>
      <c r="AU142" s="359">
        <v>305</v>
      </c>
      <c r="AV142" s="368">
        <v>640</v>
      </c>
      <c r="AW142" s="359">
        <v>400</v>
      </c>
      <c r="AX142" s="384" t="s">
        <v>559</v>
      </c>
    </row>
    <row r="143" spans="1:50" ht="17.399999999999999" x14ac:dyDescent="0.3">
      <c r="A143" s="223">
        <v>7</v>
      </c>
      <c r="B143" s="317" t="s">
        <v>232</v>
      </c>
      <c r="C143" s="1505" t="s">
        <v>249</v>
      </c>
      <c r="D143" s="1505">
        <v>3</v>
      </c>
      <c r="E143" s="1505" t="s">
        <v>248</v>
      </c>
      <c r="F143" s="318">
        <v>4.3</v>
      </c>
      <c r="H143" s="313"/>
      <c r="I143" s="387">
        <v>3.8</v>
      </c>
      <c r="J143" s="387"/>
      <c r="K143" s="317" t="s">
        <v>954</v>
      </c>
      <c r="L143" s="240">
        <f>('цб с буртом'!N4-'цб с буртом'!N6)/2</f>
        <v>75</v>
      </c>
      <c r="M143" s="841" t="s">
        <v>956</v>
      </c>
      <c r="N143" s="240">
        <f>_xlfn.IFS('цб с буртом'!N4&lt;=100,B161,AND('цб с буртом'!N4&gt;=101,'цб с буртом'!N4&lt;201),C161,AND('цб с буртом'!N4&gt;=201,'цб с буртом'!N4&lt;301),D161,AND('цб с буртом'!N4&gt;=301,'цб с буртом'!N4&lt;401),E161,AND('цб с буртом'!N4&gt;=401,'цб с буртом'!N4&lt;501),F161,AND('цб с буртом'!N4&gt;=501,'цб с буртом'!N4&lt;601),G161,AND('цб с буртом'!N4&gt;=601,'цб с буртом'!N4&lt;701),H161)</f>
        <v>400</v>
      </c>
      <c r="O143" s="240">
        <f>N143/100+1</f>
        <v>5</v>
      </c>
      <c r="P143" s="240" t="s">
        <v>959</v>
      </c>
      <c r="Q143" s="240">
        <f>IF(E157=1,HLOOKUP(N143,A161:H171,2,FALSE),IF(E157=2,HLOOKUP(N143,A175:H185,2,FALSE),HLOOKUP(N143,A190:H199,2,FALSE)))</f>
        <v>6.5</v>
      </c>
      <c r="R143" s="240" t="s">
        <v>960</v>
      </c>
      <c r="S143" s="240">
        <f>IF(M142=1,VLOOKUP(O142,A161:H171,O143,FALSE),IF(M142=2,VLOOKUP(O142,A175:H184,O143,FALSE),VLOOKUP(O142,A190:H199,O143,FALSE)))</f>
        <v>18</v>
      </c>
      <c r="T143" s="895"/>
      <c r="U143" s="891" t="s">
        <v>937</v>
      </c>
      <c r="V143" s="890"/>
      <c r="W143" s="892"/>
      <c r="X143" s="890" t="s">
        <v>939</v>
      </c>
      <c r="Y143" s="902">
        <f>_xlfn.FLOOR.MATH('цб с буртом'!N6-(S143*2),2.5)</f>
        <v>122.5</v>
      </c>
      <c r="Z143" s="893"/>
      <c r="AB143" s="253">
        <f t="shared" si="0"/>
        <v>250</v>
      </c>
      <c r="AC143" s="254" t="str">
        <f>IF(COUNTIF(AD$78:AD143,AD143)=1,MAX(AC$78:AC142)+1,"")</f>
        <v/>
      </c>
      <c r="AD143" s="215">
        <f>'[2]Изложницы без бурта'!B143</f>
        <v>107.5</v>
      </c>
      <c r="AE143" s="215">
        <f>'[2]Изложницы без бурта'!C143</f>
        <v>257</v>
      </c>
      <c r="AF143" s="56">
        <f>'[2]Изложницы без бурта'!D143</f>
        <v>185</v>
      </c>
      <c r="AG143" s="56">
        <f>'[2]Изложницы без бурта'!E143</f>
        <v>320</v>
      </c>
      <c r="AH143" s="56" t="str">
        <f>'[2]Изложницы без бурта'!F143</f>
        <v>72.11868 - 4</v>
      </c>
      <c r="AI143" s="56">
        <f>'[2]Изложницы без бурта'!G143</f>
        <v>0</v>
      </c>
      <c r="AJ143" s="56">
        <f>'[2]Изложницы без бурта'!H143</f>
        <v>0</v>
      </c>
      <c r="AK143" s="56">
        <f>'[2]Изложницы без бурта'!I143</f>
        <v>0</v>
      </c>
      <c r="AL143" s="56" t="s">
        <v>574</v>
      </c>
      <c r="AM143" s="56">
        <f>'[2]Изложницы без бурта'!K143</f>
        <v>0</v>
      </c>
      <c r="AR143" s="359">
        <v>605</v>
      </c>
      <c r="AS143" s="359">
        <v>600</v>
      </c>
      <c r="AT143" s="359">
        <v>820</v>
      </c>
      <c r="AU143" s="359">
        <v>660</v>
      </c>
      <c r="AV143" s="368">
        <v>640</v>
      </c>
      <c r="AW143" s="359">
        <v>400</v>
      </c>
      <c r="AX143" s="384" t="s">
        <v>519</v>
      </c>
    </row>
    <row r="144" spans="1:50" ht="16.2" thickBot="1" x14ac:dyDescent="0.35">
      <c r="A144" s="223">
        <v>8</v>
      </c>
      <c r="B144" s="317" t="s">
        <v>233</v>
      </c>
      <c r="C144" s="1505" t="s">
        <v>249</v>
      </c>
      <c r="D144" s="1505">
        <v>3.5</v>
      </c>
      <c r="E144" s="1505" t="s">
        <v>248</v>
      </c>
      <c r="F144" s="318">
        <v>5.3</v>
      </c>
      <c r="H144" s="234"/>
      <c r="I144" s="387">
        <v>3.9</v>
      </c>
      <c r="J144" s="387"/>
      <c r="K144" s="882" t="s">
        <v>955</v>
      </c>
      <c r="L144" s="883">
        <f>('цб с буртом'!N5-'цб с буртом'!N6)/2</f>
        <v>20</v>
      </c>
      <c r="M144" s="884" t="s">
        <v>957</v>
      </c>
      <c r="N144" s="883">
        <f>_xlfn.IFS('цб с буртом'!N5&lt;=100,B161,AND('цб с буртом'!N5&gt;=101,'цб с буртом'!N5&lt;201),C161,AND('цб с буртом'!N5&gt;=201,'цб с буртом'!N5&lt;301),D161,AND('цб с буртом'!N5&gt;=301,'цб с буртом'!N5&lt;401),E161,AND('цб с буртом'!N5&gt;=401,'цб с буртом'!N5&lt;501),F161,AND('цб с буртом'!N5&gt;=501,'цб с буртом'!N5&lt;601),G161,AND('цб с буртом'!N5&gt;=601,'цб с буртом'!N5&lt;701),H161)</f>
        <v>200</v>
      </c>
      <c r="O144" s="883">
        <f>N144/100+1</f>
        <v>3</v>
      </c>
      <c r="P144" s="883" t="s">
        <v>959</v>
      </c>
      <c r="Q144" s="883">
        <f>IF(E157=1,HLOOKUP(N144,A161:H171,2,FALSE),IF(E157=2,HLOOKUP(N144,A175:H185,2,FALSE),HLOOKUP(N144,A190:H199,2,FALSE)))</f>
        <v>4.5</v>
      </c>
      <c r="R144" s="883" t="s">
        <v>960</v>
      </c>
      <c r="S144" s="883">
        <f>IF(M142=1,VLOOKUP(N142,A161:H171,O144,FALSE),IF(M142=2,VLOOKUP(N142,A175:H184,O144,FALSE),VLOOKUP(N142,A190:H199,O144,FALSE)))</f>
        <v>6.5</v>
      </c>
      <c r="T144" s="896"/>
      <c r="U144" s="897" t="s">
        <v>945</v>
      </c>
      <c r="V144" s="897"/>
      <c r="W144" s="898"/>
      <c r="X144" s="899"/>
      <c r="Y144" s="899"/>
      <c r="Z144" s="900"/>
      <c r="AB144" s="253">
        <f t="shared" ref="AB144:AB208" si="3">IF(MAX(AC144:AC1221)&lt;ROW(66:66),"",VLOOKUP(ROW(66:66),AC144:AD1221,2))</f>
        <v>252.5</v>
      </c>
      <c r="AC144" s="254" t="str">
        <f>IF(COUNTIF(AD$78:AD144,AD144)=1,MAX(AC$78:AC143)+1,"")</f>
        <v/>
      </c>
      <c r="AD144" s="215">
        <f>'[2]Изложницы без бурта'!B144</f>
        <v>107.5</v>
      </c>
      <c r="AE144" s="215">
        <f>'[2]Изложницы без бурта'!C144</f>
        <v>265</v>
      </c>
      <c r="AF144" s="56">
        <f>'[2]Изложницы без бурта'!D144</f>
        <v>185</v>
      </c>
      <c r="AG144" s="56">
        <f>'[2]Изложницы без бурта'!E144</f>
        <v>320</v>
      </c>
      <c r="AH144" s="56" t="str">
        <f>'[2]Изложницы без бурта'!F144</f>
        <v>72.11868 - 4</v>
      </c>
      <c r="AI144" s="56">
        <f>'[2]Изложницы без бурта'!G144</f>
        <v>0</v>
      </c>
      <c r="AJ144" s="56">
        <f>'[2]Изложницы без бурта'!H144</f>
        <v>0</v>
      </c>
      <c r="AK144" s="56">
        <f>'[2]Изложницы без бурта'!I144</f>
        <v>0</v>
      </c>
      <c r="AL144" s="56" t="s">
        <v>574</v>
      </c>
      <c r="AM144" s="56">
        <f>'[2]Изложницы без бурта'!K144</f>
        <v>0</v>
      </c>
      <c r="AR144" s="359">
        <v>600</v>
      </c>
      <c r="AS144" s="359">
        <v>567.5</v>
      </c>
      <c r="AT144" s="359">
        <v>647</v>
      </c>
      <c r="AU144" s="360">
        <v>565</v>
      </c>
      <c r="AV144" s="368">
        <v>640</v>
      </c>
      <c r="AW144" s="359">
        <v>400</v>
      </c>
      <c r="AX144" s="384" t="s">
        <v>520</v>
      </c>
    </row>
    <row r="145" spans="1:50" ht="15" thickBot="1" x14ac:dyDescent="0.3">
      <c r="A145" s="223">
        <v>9</v>
      </c>
      <c r="B145" s="317" t="s">
        <v>234</v>
      </c>
      <c r="C145" s="1505" t="s">
        <v>249</v>
      </c>
      <c r="D145" s="1505">
        <v>4</v>
      </c>
      <c r="E145" s="1505" t="s">
        <v>248</v>
      </c>
      <c r="F145" s="318">
        <v>6</v>
      </c>
      <c r="H145" s="234"/>
      <c r="I145" s="387">
        <v>4</v>
      </c>
      <c r="J145" s="387"/>
      <c r="K145" s="223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225"/>
      <c r="AB145" s="253">
        <f t="shared" si="3"/>
        <v>255</v>
      </c>
      <c r="AC145" s="254">
        <f>IF(COUNTIF(AD$78:AD145,AD145)=1,MAX(AC$78:AC144)+1,"")</f>
        <v>10</v>
      </c>
      <c r="AD145" s="215">
        <f>'[2]Изложницы без бурта'!B145</f>
        <v>110</v>
      </c>
      <c r="AE145" s="215">
        <f>'[2]Изложницы без бурта'!C145</f>
        <v>258</v>
      </c>
      <c r="AF145" s="56">
        <f>'[2]Изложницы без бурта'!D145</f>
        <v>185</v>
      </c>
      <c r="AG145" s="56">
        <f>'[2]Изложницы без бурта'!E145</f>
        <v>320</v>
      </c>
      <c r="AH145" s="56" t="str">
        <f>'[2]Изложницы без бурта'!F145</f>
        <v>72.11868 - 5</v>
      </c>
      <c r="AI145" s="56">
        <f>'[2]Изложницы без бурта'!G145</f>
        <v>0</v>
      </c>
      <c r="AJ145" s="56">
        <f>'[2]Изложницы без бурта'!H145</f>
        <v>0</v>
      </c>
      <c r="AK145" s="56">
        <f>'[2]Изложницы без бурта'!I145</f>
        <v>0</v>
      </c>
      <c r="AL145" s="56" t="s">
        <v>575</v>
      </c>
      <c r="AM145" s="56">
        <f>'[2]Изложницы без бурта'!K145</f>
        <v>0</v>
      </c>
      <c r="AR145" s="359">
        <v>622</v>
      </c>
      <c r="AS145" s="359">
        <v>575</v>
      </c>
      <c r="AT145" s="366">
        <v>645</v>
      </c>
      <c r="AU145" s="367">
        <v>570</v>
      </c>
      <c r="AV145" s="368">
        <v>700</v>
      </c>
      <c r="AW145" s="359">
        <v>400</v>
      </c>
      <c r="AX145" s="384" t="s">
        <v>521</v>
      </c>
    </row>
    <row r="146" spans="1:50" ht="15" thickBot="1" x14ac:dyDescent="0.3">
      <c r="A146" s="223">
        <v>10</v>
      </c>
      <c r="B146" s="317" t="s">
        <v>235</v>
      </c>
      <c r="C146" s="1505" t="s">
        <v>250</v>
      </c>
      <c r="D146" s="1505">
        <v>4.5</v>
      </c>
      <c r="E146" s="1505" t="s">
        <v>249</v>
      </c>
      <c r="F146" s="318">
        <v>6.5</v>
      </c>
      <c r="H146" s="234"/>
      <c r="K146" s="880" t="b">
        <f>L143&lt;=A163</f>
        <v>0</v>
      </c>
      <c r="L146" s="881" t="b">
        <f>L143&lt;=A164</f>
        <v>0</v>
      </c>
      <c r="M146" s="881" t="b">
        <f>L143&lt;=A165</f>
        <v>0</v>
      </c>
      <c r="N146" s="881" t="b">
        <f>L143&lt;=A166</f>
        <v>0</v>
      </c>
      <c r="O146" s="881" t="b">
        <f>L143&lt;=A167</f>
        <v>1</v>
      </c>
      <c r="P146" s="881" t="b">
        <f>L143&lt;=A168</f>
        <v>1</v>
      </c>
      <c r="Q146" s="881" t="b">
        <f>L143&lt;=A169</f>
        <v>1</v>
      </c>
      <c r="R146" s="881" t="b">
        <f>L143&lt;=A170</f>
        <v>1</v>
      </c>
      <c r="S146" s="881" t="b">
        <f>L143&lt;=A171</f>
        <v>1</v>
      </c>
      <c r="T146" s="134"/>
      <c r="U146" s="134"/>
      <c r="V146" s="134"/>
      <c r="W146" s="134"/>
      <c r="X146" s="134"/>
      <c r="Y146" s="134"/>
      <c r="Z146" s="225"/>
      <c r="AB146" s="253">
        <f t="shared" si="3"/>
        <v>257.5</v>
      </c>
      <c r="AC146" s="254" t="str">
        <f>IF(COUNTIF(AD$78:AD146,AD146)=1,MAX(AC$78:AC145)+1,"")</f>
        <v/>
      </c>
      <c r="AD146" s="215">
        <f>'[2]Изложницы без бурта'!B146</f>
        <v>110</v>
      </c>
      <c r="AE146" s="215">
        <f>'[2]Изложницы без бурта'!C146</f>
        <v>260</v>
      </c>
      <c r="AF146" s="56">
        <f>'[2]Изложницы без бурта'!D146</f>
        <v>185</v>
      </c>
      <c r="AG146" s="56">
        <f>'[2]Изложницы без бурта'!E146</f>
        <v>320</v>
      </c>
      <c r="AH146" s="56" t="str">
        <f>'[2]Изложницы без бурта'!F146</f>
        <v>72.11868 - 5</v>
      </c>
      <c r="AI146" s="56">
        <f>'[2]Изложницы без бурта'!G146</f>
        <v>0</v>
      </c>
      <c r="AJ146" s="56">
        <f>'[2]Изложницы без бурта'!H146</f>
        <v>0</v>
      </c>
      <c r="AK146" s="56">
        <f>'[2]Изложницы без бурта'!I146</f>
        <v>0</v>
      </c>
      <c r="AL146" s="56" t="s">
        <v>575</v>
      </c>
      <c r="AM146" s="56">
        <f>'[2]Изложницы без бурта'!K146</f>
        <v>0</v>
      </c>
      <c r="AR146" s="359">
        <v>622</v>
      </c>
      <c r="AS146" s="360">
        <v>575</v>
      </c>
      <c r="AT146" s="366">
        <v>640</v>
      </c>
      <c r="AU146" s="367">
        <v>565</v>
      </c>
      <c r="AV146" s="368">
        <v>700</v>
      </c>
      <c r="AW146" s="359">
        <v>400</v>
      </c>
      <c r="AX146" s="384" t="s">
        <v>521</v>
      </c>
    </row>
    <row r="147" spans="1:50" ht="15" thickBot="1" x14ac:dyDescent="0.3">
      <c r="A147" s="223">
        <v>11</v>
      </c>
      <c r="B147" s="317" t="s">
        <v>236</v>
      </c>
      <c r="C147" s="1505" t="s">
        <v>250</v>
      </c>
      <c r="D147" s="1505">
        <v>5.3</v>
      </c>
      <c r="E147" s="1505" t="s">
        <v>249</v>
      </c>
      <c r="F147" s="318">
        <v>7</v>
      </c>
      <c r="H147" s="234"/>
      <c r="K147" s="880" t="b">
        <f>$L144&lt;=$A163</f>
        <v>0</v>
      </c>
      <c r="L147" s="881" t="b">
        <f>$L144&lt;=$A164</f>
        <v>1</v>
      </c>
      <c r="M147" s="881" t="b">
        <f>$L144&lt;=$A165</f>
        <v>1</v>
      </c>
      <c r="N147" s="881" t="b">
        <f>$L144&lt;=$A166</f>
        <v>1</v>
      </c>
      <c r="O147" s="881" t="b">
        <f>$L144&lt;=$A167</f>
        <v>1</v>
      </c>
      <c r="P147" s="881" t="b">
        <f>$L144&lt;=$A168</f>
        <v>1</v>
      </c>
      <c r="Q147" s="881" t="b">
        <f>$L144&lt;=$A169</f>
        <v>1</v>
      </c>
      <c r="R147" s="881" t="b">
        <f>$L144&lt;=$A170</f>
        <v>1</v>
      </c>
      <c r="S147" s="881" t="b">
        <f>$L144&lt;=$A171</f>
        <v>1</v>
      </c>
      <c r="T147" s="134"/>
      <c r="U147" s="134"/>
      <c r="V147" s="134"/>
      <c r="W147" s="134"/>
      <c r="X147" s="134"/>
      <c r="Y147" s="134"/>
      <c r="Z147" s="225"/>
      <c r="AB147" s="253">
        <f t="shared" si="3"/>
        <v>260</v>
      </c>
      <c r="AC147" s="254" t="str">
        <f>IF(COUNTIF(AD$78:AD147,AD147)=1,MAX(AC$78:AC146)+1,"")</f>
        <v/>
      </c>
      <c r="AD147" s="215">
        <f>'[2]Изложницы без бурта'!B147</f>
        <v>110</v>
      </c>
      <c r="AE147" s="215">
        <f>'[2]Изложницы без бурта'!C147</f>
        <v>255</v>
      </c>
      <c r="AF147" s="56">
        <f>'[2]Изложницы без бурта'!D147</f>
        <v>185</v>
      </c>
      <c r="AG147" s="56">
        <f>'[2]Изложницы без бурта'!E147</f>
        <v>320</v>
      </c>
      <c r="AH147" s="56" t="str">
        <f>'[2]Изложницы без бурта'!F147</f>
        <v>72.11868 - 5</v>
      </c>
      <c r="AI147" s="56">
        <f>'[2]Изложницы без бурта'!G147</f>
        <v>0</v>
      </c>
      <c r="AJ147" s="56">
        <f>'[2]Изложницы без бурта'!H147</f>
        <v>0</v>
      </c>
      <c r="AK147" s="56">
        <f>'[2]Изложницы без бурта'!I147</f>
        <v>0</v>
      </c>
      <c r="AL147" s="56" t="s">
        <v>575</v>
      </c>
      <c r="AM147" s="56">
        <f>'[2]Изложницы без бурта'!K147</f>
        <v>0</v>
      </c>
      <c r="AR147" s="366">
        <v>620</v>
      </c>
      <c r="AS147" s="367">
        <v>580</v>
      </c>
      <c r="AT147" s="368">
        <v>638</v>
      </c>
      <c r="AU147" s="358">
        <v>583</v>
      </c>
      <c r="AV147" s="359">
        <v>670</v>
      </c>
      <c r="AW147" s="359">
        <v>400</v>
      </c>
      <c r="AX147" s="384" t="s">
        <v>522</v>
      </c>
    </row>
    <row r="148" spans="1:50" ht="15" thickBot="1" x14ac:dyDescent="0.3">
      <c r="A148" s="223">
        <v>12</v>
      </c>
      <c r="B148" s="317" t="s">
        <v>237</v>
      </c>
      <c r="C148" s="1505" t="s">
        <v>250</v>
      </c>
      <c r="D148" s="1505">
        <v>6.7</v>
      </c>
      <c r="E148" s="1505" t="s">
        <v>249</v>
      </c>
      <c r="F148" s="318">
        <v>7.5</v>
      </c>
      <c r="H148" s="234"/>
      <c r="K148" s="880">
        <v>10</v>
      </c>
      <c r="L148" s="881">
        <v>20</v>
      </c>
      <c r="M148" s="881">
        <v>30</v>
      </c>
      <c r="N148" s="881">
        <v>50</v>
      </c>
      <c r="O148" s="881">
        <v>80</v>
      </c>
      <c r="P148" s="881">
        <v>120</v>
      </c>
      <c r="Q148" s="881">
        <v>150</v>
      </c>
      <c r="R148" s="881">
        <v>200</v>
      </c>
      <c r="S148" s="881">
        <v>300</v>
      </c>
      <c r="T148" s="134"/>
      <c r="U148" s="134"/>
      <c r="V148" s="134"/>
      <c r="W148" s="134"/>
      <c r="X148" s="134"/>
      <c r="Y148" s="134"/>
      <c r="Z148" s="225"/>
      <c r="AB148" s="253">
        <f t="shared" si="3"/>
        <v>262.5</v>
      </c>
      <c r="AC148" s="254" t="str">
        <f>IF(COUNTIF(AD$78:AD148,AD148)=1,MAX(AC$78:AC147)+1,"")</f>
        <v/>
      </c>
      <c r="AD148" s="215">
        <f>'[2]Изложницы без бурта'!B148</f>
        <v>110</v>
      </c>
      <c r="AE148" s="215">
        <f>'[2]Изложницы без бурта'!C148</f>
        <v>260</v>
      </c>
      <c r="AF148" s="56">
        <f>'[2]Изложницы без бурта'!D148</f>
        <v>185</v>
      </c>
      <c r="AG148" s="56">
        <f>'[2]Изложницы без бурта'!E148</f>
        <v>320</v>
      </c>
      <c r="AH148" s="56" t="str">
        <f>'[2]Изложницы без бурта'!F148</f>
        <v>72.11868 - 5</v>
      </c>
      <c r="AI148" s="56">
        <f>'[2]Изложницы без бурта'!G148</f>
        <v>0</v>
      </c>
      <c r="AJ148" s="56">
        <f>'[2]Изложницы без бурта'!H148</f>
        <v>0</v>
      </c>
      <c r="AK148" s="56">
        <f>'[2]Изложницы без бурта'!I148</f>
        <v>0</v>
      </c>
      <c r="AL148" s="56" t="s">
        <v>575</v>
      </c>
      <c r="AM148" s="56">
        <f>'[2]Изложницы без бурта'!K148</f>
        <v>0</v>
      </c>
      <c r="AR148" s="360">
        <v>620</v>
      </c>
      <c r="AS148" s="358">
        <v>590</v>
      </c>
      <c r="AT148" s="359">
        <v>643</v>
      </c>
      <c r="AU148" s="359">
        <v>588</v>
      </c>
      <c r="AV148" s="359">
        <v>670</v>
      </c>
      <c r="AW148" s="359">
        <v>400</v>
      </c>
      <c r="AX148" s="384" t="s">
        <v>523</v>
      </c>
    </row>
    <row r="149" spans="1:50" ht="14.4" customHeight="1" thickBot="1" x14ac:dyDescent="0.35">
      <c r="A149" s="223">
        <v>13</v>
      </c>
      <c r="B149" s="317" t="s">
        <v>238</v>
      </c>
      <c r="C149" s="1505" t="s">
        <v>250</v>
      </c>
      <c r="D149" s="1505">
        <v>7</v>
      </c>
      <c r="E149" s="1505" t="s">
        <v>249</v>
      </c>
      <c r="F149" s="318">
        <v>8</v>
      </c>
      <c r="H149" s="313"/>
      <c r="K149" s="223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225"/>
      <c r="AB149" s="253">
        <f t="shared" si="3"/>
        <v>265</v>
      </c>
      <c r="AC149" s="254" t="str">
        <f>IF(COUNTIF(AD$78:AD149,AD149)=1,MAX(AC$78:AC148)+1,"")</f>
        <v/>
      </c>
      <c r="AD149" s="215">
        <f>'[2]Изложницы без бурта'!B149</f>
        <v>110</v>
      </c>
      <c r="AE149" s="215">
        <f>'[2]Изложницы без бурта'!C149</f>
        <v>260</v>
      </c>
      <c r="AF149" s="56">
        <f>'[2]Изложницы без бурта'!D149</f>
        <v>185</v>
      </c>
      <c r="AG149" s="56">
        <f>'[2]Изложницы без бурта'!E149</f>
        <v>320</v>
      </c>
      <c r="AH149" s="56" t="str">
        <f>'[2]Изложницы без бурта'!F149</f>
        <v>72.11868 - 5</v>
      </c>
      <c r="AI149" s="56">
        <f>'[2]Изложницы без бурта'!G149</f>
        <v>0</v>
      </c>
      <c r="AJ149" s="56">
        <f>'[2]Изложницы без бурта'!H149</f>
        <v>0</v>
      </c>
      <c r="AK149" s="56">
        <f>'[2]Изложницы без бурта'!I149</f>
        <v>0</v>
      </c>
      <c r="AL149" s="56" t="s">
        <v>575</v>
      </c>
      <c r="AM149" s="56">
        <f>'[2]Изложницы без бурта'!K149</f>
        <v>0</v>
      </c>
      <c r="AR149" s="367">
        <v>667</v>
      </c>
      <c r="AS149" s="368">
        <v>615</v>
      </c>
      <c r="AT149" s="359">
        <v>490</v>
      </c>
      <c r="AU149" s="359">
        <v>400</v>
      </c>
      <c r="AV149" s="368">
        <v>700</v>
      </c>
      <c r="AW149" s="359">
        <v>400</v>
      </c>
      <c r="AX149" s="384" t="s">
        <v>560</v>
      </c>
    </row>
    <row r="150" spans="1:50" ht="15" customHeight="1" x14ac:dyDescent="0.3">
      <c r="A150" s="223">
        <v>14</v>
      </c>
      <c r="B150" s="317" t="s">
        <v>239</v>
      </c>
      <c r="C150" s="1505" t="s">
        <v>250</v>
      </c>
      <c r="D150" s="1505">
        <v>7</v>
      </c>
      <c r="E150" s="1505" t="s">
        <v>249</v>
      </c>
      <c r="F150" s="318">
        <v>8.5</v>
      </c>
      <c r="H150" s="313"/>
      <c r="J150" s="310"/>
      <c r="K150" s="223"/>
      <c r="L150" s="134"/>
      <c r="M150" s="331"/>
      <c r="N150" s="1268"/>
      <c r="O150" s="1466"/>
      <c r="P150" s="1268"/>
      <c r="Q150" s="134"/>
      <c r="R150" s="1268"/>
      <c r="S150" s="134"/>
      <c r="T150" s="134"/>
      <c r="U150" s="134"/>
      <c r="V150" s="134"/>
      <c r="W150" s="134"/>
      <c r="X150" s="134"/>
      <c r="Y150" s="134"/>
      <c r="Z150" s="225"/>
      <c r="AB150" s="253">
        <f t="shared" si="3"/>
        <v>267.5</v>
      </c>
      <c r="AC150" s="254" t="str">
        <f>IF(COUNTIF(AD$78:AD150,AD150)=1,MAX(AC$78:AC149)+1,"")</f>
        <v/>
      </c>
      <c r="AD150" s="215">
        <f>'[2]Изложницы без бурта'!B150</f>
        <v>110</v>
      </c>
      <c r="AE150" s="215">
        <f>'[2]Изложницы без бурта'!C150</f>
        <v>260</v>
      </c>
      <c r="AF150" s="56">
        <f>'[2]Изложницы без бурта'!D150</f>
        <v>185</v>
      </c>
      <c r="AG150" s="56">
        <f>'[2]Изложницы без бурта'!E150</f>
        <v>320</v>
      </c>
      <c r="AH150" s="56" t="str">
        <f>'[2]Изложницы без бурта'!F150</f>
        <v>72.11868 - 5</v>
      </c>
      <c r="AI150" s="56">
        <f>'[2]Изложницы без бурта'!G150</f>
        <v>0</v>
      </c>
      <c r="AJ150" s="56">
        <f>'[2]Изложницы без бурта'!H150</f>
        <v>0</v>
      </c>
      <c r="AK150" s="56">
        <f>'[2]Изложницы без бурта'!I150</f>
        <v>0</v>
      </c>
      <c r="AL150" s="56" t="s">
        <v>575</v>
      </c>
      <c r="AM150" s="56">
        <f>'[2]Изложницы без бурта'!K150</f>
        <v>0</v>
      </c>
      <c r="AR150" s="358">
        <v>682</v>
      </c>
      <c r="AS150" s="359">
        <v>640</v>
      </c>
      <c r="AT150" s="359">
        <v>410</v>
      </c>
      <c r="AU150" s="359">
        <v>343</v>
      </c>
      <c r="AV150" s="368">
        <v>700</v>
      </c>
      <c r="AW150" s="359">
        <v>400</v>
      </c>
      <c r="AX150" s="384" t="s">
        <v>524</v>
      </c>
    </row>
    <row r="151" spans="1:50" ht="15" customHeight="1" x14ac:dyDescent="0.3">
      <c r="A151" s="223">
        <v>15</v>
      </c>
      <c r="B151" s="317" t="s">
        <v>240</v>
      </c>
      <c r="C151" s="1505" t="s">
        <v>250</v>
      </c>
      <c r="D151" s="1505">
        <v>7</v>
      </c>
      <c r="E151" s="1505" t="s">
        <v>250</v>
      </c>
      <c r="F151" s="318">
        <v>9</v>
      </c>
      <c r="H151" s="313"/>
      <c r="J151" s="310"/>
      <c r="K151" s="223"/>
      <c r="L151" s="134"/>
      <c r="M151" s="1268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225"/>
      <c r="AB151" s="253">
        <f t="shared" si="3"/>
        <v>270</v>
      </c>
      <c r="AC151" s="254" t="str">
        <f>IF(COUNTIF(AD$78:AD151,AD151)=1,MAX(AC$78:AC150)+1,"")</f>
        <v/>
      </c>
      <c r="AD151" s="215">
        <f>'[2]Изложницы без бурта'!B151</f>
        <v>110</v>
      </c>
      <c r="AE151" s="215">
        <f>'[2]Изложницы без бурта'!C151</f>
        <v>250</v>
      </c>
      <c r="AF151" s="56">
        <f>'[2]Изложницы без бурта'!D151</f>
        <v>185</v>
      </c>
      <c r="AG151" s="56">
        <f>'[2]Изложницы без бурта'!E151</f>
        <v>320</v>
      </c>
      <c r="AH151" s="56" t="str">
        <f>'[2]Изложницы без бурта'!F151</f>
        <v>72.11868 - 5</v>
      </c>
      <c r="AI151" s="56">
        <f>'[2]Изложницы без бурта'!G151</f>
        <v>0</v>
      </c>
      <c r="AJ151" s="56">
        <f>'[2]Изложницы без бурта'!H151</f>
        <v>0</v>
      </c>
      <c r="AK151" s="56">
        <f>'[2]Изложницы без бурта'!I151</f>
        <v>0</v>
      </c>
      <c r="AL151" s="56" t="s">
        <v>575</v>
      </c>
      <c r="AM151" s="56">
        <f>'[2]Изложницы без бурта'!K151</f>
        <v>0</v>
      </c>
    </row>
    <row r="152" spans="1:50" ht="14.4" customHeight="1" x14ac:dyDescent="0.3">
      <c r="A152" s="223">
        <v>16</v>
      </c>
      <c r="B152" s="317" t="s">
        <v>241</v>
      </c>
      <c r="C152" s="1505" t="s">
        <v>250</v>
      </c>
      <c r="D152" s="1505">
        <v>7</v>
      </c>
      <c r="E152" s="1505" t="s">
        <v>250</v>
      </c>
      <c r="F152" s="318">
        <v>9.5</v>
      </c>
      <c r="H152" s="313"/>
      <c r="J152" s="310"/>
      <c r="K152" s="223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225"/>
      <c r="AB152" s="253">
        <f t="shared" si="3"/>
        <v>275</v>
      </c>
      <c r="AC152" s="254" t="str">
        <f>IF(COUNTIF(AD$78:AD152,AD152)=1,MAX(AC$78:AC151)+1,"")</f>
        <v/>
      </c>
      <c r="AD152" s="215">
        <f>'[2]Изложницы без бурта'!B152</f>
        <v>110</v>
      </c>
      <c r="AE152" s="215">
        <f>'[2]Изложницы без бурта'!C152</f>
        <v>260</v>
      </c>
      <c r="AF152" s="56">
        <f>'[2]Изложницы без бурта'!D152</f>
        <v>185</v>
      </c>
      <c r="AG152" s="56">
        <f>'[2]Изложницы без бурта'!E152</f>
        <v>320</v>
      </c>
      <c r="AH152" s="56" t="str">
        <f>'[2]Изложницы без бурта'!F152</f>
        <v>72.11868 - 5</v>
      </c>
      <c r="AI152" s="56">
        <f>'[2]Изложницы без бурта'!G152</f>
        <v>0</v>
      </c>
      <c r="AJ152" s="56">
        <f>'[2]Изложницы без бурта'!H152</f>
        <v>0</v>
      </c>
      <c r="AK152" s="56">
        <f>'[2]Изложницы без бурта'!I152</f>
        <v>0</v>
      </c>
      <c r="AL152" s="56" t="s">
        <v>575</v>
      </c>
      <c r="AM152" s="56">
        <f>'[2]Изложницы без бурта'!K152</f>
        <v>0</v>
      </c>
    </row>
    <row r="153" spans="1:50" x14ac:dyDescent="0.25">
      <c r="A153" s="223">
        <v>17</v>
      </c>
      <c r="B153" s="317" t="s">
        <v>242</v>
      </c>
      <c r="C153" s="1505" t="s">
        <v>250</v>
      </c>
      <c r="D153" s="1505">
        <v>7</v>
      </c>
      <c r="E153" s="1505" t="s">
        <v>250</v>
      </c>
      <c r="F153" s="318">
        <v>11</v>
      </c>
      <c r="H153" s="234"/>
      <c r="J153" s="310"/>
      <c r="K153" s="925"/>
      <c r="L153" s="331"/>
      <c r="M153" s="331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225"/>
      <c r="AB153" s="253">
        <f t="shared" si="3"/>
        <v>277.5</v>
      </c>
      <c r="AC153" s="254" t="str">
        <f>IF(COUNTIF(AD$78:AD153,AD153)=1,MAX(AC$78:AC152)+1,"")</f>
        <v/>
      </c>
      <c r="AD153" s="215">
        <f>'[2]Изложницы без бурта'!B153</f>
        <v>110</v>
      </c>
      <c r="AE153" s="215">
        <f>'[2]Изложницы без бурта'!C153</f>
        <v>257</v>
      </c>
      <c r="AF153" s="56">
        <f>'[2]Изложницы без бурта'!D153</f>
        <v>185</v>
      </c>
      <c r="AG153" s="56">
        <f>'[2]Изложницы без бурта'!E153</f>
        <v>320</v>
      </c>
      <c r="AH153" s="56" t="str">
        <f>'[2]Изложницы без бурта'!F153</f>
        <v>72.11868 - 5</v>
      </c>
      <c r="AI153" s="56">
        <f>'[2]Изложницы без бурта'!G153</f>
        <v>0</v>
      </c>
      <c r="AJ153" s="56">
        <f>'[2]Изложницы без бурта'!H153</f>
        <v>0</v>
      </c>
      <c r="AK153" s="56">
        <f>'[2]Изложницы без бурта'!I153</f>
        <v>0</v>
      </c>
      <c r="AL153" s="56" t="s">
        <v>575</v>
      </c>
      <c r="AM153" s="56">
        <f>'[2]Изложницы без бурта'!K153</f>
        <v>0</v>
      </c>
    </row>
    <row r="154" spans="1:50" ht="14.4" thickBot="1" x14ac:dyDescent="0.3">
      <c r="A154" s="306">
        <v>18</v>
      </c>
      <c r="B154" s="319" t="s">
        <v>243</v>
      </c>
      <c r="C154" s="320" t="s">
        <v>250</v>
      </c>
      <c r="D154" s="320">
        <v>7</v>
      </c>
      <c r="E154" s="320" t="s">
        <v>250</v>
      </c>
      <c r="F154" s="321">
        <v>11</v>
      </c>
      <c r="J154" s="310"/>
      <c r="K154" s="862"/>
      <c r="L154" s="863"/>
      <c r="M154" s="863"/>
      <c r="N154" s="863"/>
      <c r="O154" s="863"/>
      <c r="P154" s="863"/>
      <c r="Q154" s="863"/>
      <c r="R154" s="863"/>
      <c r="S154" s="307"/>
      <c r="T154" s="307"/>
      <c r="U154" s="307"/>
      <c r="V154" s="307"/>
      <c r="W154" s="307"/>
      <c r="X154" s="307"/>
      <c r="Y154" s="307"/>
      <c r="Z154" s="308"/>
      <c r="AB154" s="253">
        <f t="shared" si="3"/>
        <v>280</v>
      </c>
      <c r="AC154" s="254" t="str">
        <f>IF(COUNTIF(AD$78:AD154,AD154)=1,MAX(AC$78:AC153)+1,"")</f>
        <v/>
      </c>
      <c r="AD154" s="215">
        <f>'[2]Изложницы без бурта'!B154</f>
        <v>110</v>
      </c>
      <c r="AE154" s="215">
        <f>'[2]Изложницы без бурта'!C154</f>
        <v>260</v>
      </c>
      <c r="AF154" s="56">
        <f>'[2]Изложницы без бурта'!D154</f>
        <v>185</v>
      </c>
      <c r="AG154" s="56">
        <f>'[2]Изложницы без бурта'!E154</f>
        <v>320</v>
      </c>
      <c r="AH154" s="56" t="str">
        <f>'[2]Изложницы без бурта'!F154</f>
        <v>72.11868 - 5</v>
      </c>
      <c r="AI154" s="56">
        <f>'[2]Изложницы без бурта'!G154</f>
        <v>0</v>
      </c>
      <c r="AJ154" s="56">
        <f>'[2]Изложницы без бурта'!H154</f>
        <v>0</v>
      </c>
      <c r="AK154" s="56">
        <f>'[2]Изложницы без бурта'!I154</f>
        <v>0</v>
      </c>
      <c r="AL154" s="56" t="s">
        <v>575</v>
      </c>
      <c r="AM154" s="56">
        <f>'[2]Изложницы без бурта'!K154</f>
        <v>0</v>
      </c>
    </row>
    <row r="155" spans="1:50" ht="14.4" thickBot="1" x14ac:dyDescent="0.3">
      <c r="J155" s="310"/>
      <c r="K155" s="310"/>
      <c r="L155" s="310"/>
      <c r="M155" s="310"/>
      <c r="N155" s="310"/>
      <c r="O155" s="310"/>
      <c r="P155" s="310"/>
      <c r="Q155" s="310"/>
      <c r="R155" s="310"/>
      <c r="AB155" s="253">
        <f t="shared" ref="AB155:AB201" si="4">IF(MAX(AC155:AC1232)&lt;ROW(77:77),"",VLOOKUP(ROW(77:77),AC155:AD1232,2))</f>
        <v>282.5</v>
      </c>
      <c r="AC155" s="254" t="str">
        <f>IF(COUNTIF(AD$78:AD155,AD155)=1,MAX(AC$78:AC154)+1,"")</f>
        <v/>
      </c>
      <c r="AD155" s="215">
        <f>'[2]Изложницы без бурта'!B155</f>
        <v>110</v>
      </c>
      <c r="AE155" s="215">
        <f>'[2]Изложницы без бурта'!C155</f>
        <v>260</v>
      </c>
      <c r="AF155" s="56">
        <f>'[2]Изложницы без бурта'!D155</f>
        <v>185</v>
      </c>
      <c r="AG155" s="56">
        <f>'[2]Изложницы без бурта'!E155</f>
        <v>320</v>
      </c>
      <c r="AH155" s="56" t="str">
        <f>'[2]Изложницы без бурта'!F155</f>
        <v>72.11868 - 5</v>
      </c>
      <c r="AI155" s="56">
        <f>'[2]Изложницы без бурта'!G155</f>
        <v>0</v>
      </c>
      <c r="AJ155" s="56">
        <f>'[2]Изложницы без бурта'!H155</f>
        <v>0</v>
      </c>
      <c r="AK155" s="56">
        <f>'[2]Изложницы без бурта'!I155</f>
        <v>0</v>
      </c>
      <c r="AL155" s="56" t="s">
        <v>575</v>
      </c>
      <c r="AM155" s="56">
        <f>'[2]Изложницы без бурта'!K155</f>
        <v>0</v>
      </c>
    </row>
    <row r="156" spans="1:50" x14ac:dyDescent="0.25">
      <c r="K156" s="212"/>
      <c r="L156" s="213"/>
      <c r="M156" s="213"/>
      <c r="N156" s="213"/>
      <c r="O156" s="213"/>
      <c r="P156" s="213"/>
      <c r="Q156" s="213">
        <f ca="1">(цб!N18-цб!N19)/2</f>
        <v>35.5</v>
      </c>
      <c r="R156" s="874" t="b">
        <v>0</v>
      </c>
      <c r="S156" s="214"/>
      <c r="AB156" s="253">
        <f t="shared" si="4"/>
        <v>285</v>
      </c>
      <c r="AC156" s="254" t="str">
        <f>IF(COUNTIF(AD$78:AD156,AD156)=1,MAX(AC$78:AC155)+1,"")</f>
        <v/>
      </c>
      <c r="AD156" s="215">
        <f>'[2]Изложницы без бурта'!B156</f>
        <v>110</v>
      </c>
      <c r="AE156" s="215">
        <f>'[2]Изложницы без бурта'!C156</f>
        <v>255</v>
      </c>
      <c r="AF156" s="56">
        <f>'[2]Изложницы без бурта'!D156</f>
        <v>185</v>
      </c>
      <c r="AG156" s="56">
        <f>'[2]Изложницы без бурта'!E156</f>
        <v>320</v>
      </c>
      <c r="AH156" s="56" t="str">
        <f>'[2]Изложницы без бурта'!F156</f>
        <v>72.11868 - 5</v>
      </c>
      <c r="AI156" s="56">
        <f>'[2]Изложницы без бурта'!G156</f>
        <v>0</v>
      </c>
      <c r="AJ156" s="56">
        <f>'[2]Изложницы без бурта'!H156</f>
        <v>0</v>
      </c>
      <c r="AK156" s="56">
        <f>'[2]Изложницы без бурта'!I156</f>
        <v>0</v>
      </c>
      <c r="AL156" s="56" t="s">
        <v>575</v>
      </c>
      <c r="AM156" s="56">
        <f>'[2]Изложницы без бурта'!K156</f>
        <v>0</v>
      </c>
    </row>
    <row r="157" spans="1:50" x14ac:dyDescent="0.25">
      <c r="A157" s="322" t="s">
        <v>319</v>
      </c>
      <c r="D157" s="241" t="s">
        <v>391</v>
      </c>
      <c r="E157" s="323">
        <f>IF(OR(цб!N8=7.5,цб!N8=7.6,цб!N8=7.7,цб!N8=7.8,цб!N8=7.9,цб!N8=8,цб!N8=8.1),1,IF(цб!N8=8.5,2,3))</f>
        <v>3</v>
      </c>
      <c r="K157" s="861"/>
      <c r="L157" s="234"/>
      <c r="M157" s="234"/>
      <c r="N157" s="134"/>
      <c r="O157" s="134"/>
      <c r="P157" s="134"/>
      <c r="Q157" s="134"/>
      <c r="R157" s="134"/>
      <c r="S157" s="225"/>
      <c r="AB157" s="253">
        <f t="shared" si="4"/>
        <v>287.5</v>
      </c>
      <c r="AC157" s="254" t="str">
        <f>IF(COUNTIF(AD$78:AD157,AD157)=1,MAX(AC$78:AC156)+1,"")</f>
        <v/>
      </c>
      <c r="AD157" s="215">
        <f>'[2]Изложницы без бурта'!B157</f>
        <v>110</v>
      </c>
      <c r="AE157" s="215">
        <f>'[2]Изложницы без бурта'!C157</f>
        <v>255</v>
      </c>
      <c r="AF157" s="56">
        <f>'[2]Изложницы без бурта'!D157</f>
        <v>185</v>
      </c>
      <c r="AG157" s="56">
        <f>'[2]Изложницы без бурта'!E157</f>
        <v>320</v>
      </c>
      <c r="AH157" s="56" t="str">
        <f>'[2]Изложницы без бурта'!F157</f>
        <v>72.11868 - 5</v>
      </c>
      <c r="AI157" s="56">
        <f>'[2]Изложницы без бурта'!G157</f>
        <v>0</v>
      </c>
      <c r="AJ157" s="56">
        <f>'[2]Изложницы без бурта'!H157</f>
        <v>0</v>
      </c>
      <c r="AK157" s="56">
        <f>'[2]Изложницы без бурта'!I157</f>
        <v>0</v>
      </c>
      <c r="AL157" s="56" t="s">
        <v>575</v>
      </c>
      <c r="AM157" s="56">
        <f>'[2]Изложницы без бурта'!K157</f>
        <v>0</v>
      </c>
    </row>
    <row r="158" spans="1:50" ht="14.4" thickBot="1" x14ac:dyDescent="0.3">
      <c r="A158" s="324" t="s">
        <v>320</v>
      </c>
      <c r="K158" s="1800" t="s">
        <v>378</v>
      </c>
      <c r="L158" s="1801"/>
      <c r="M158" s="1801"/>
      <c r="N158" s="1801"/>
      <c r="O158" s="1801"/>
      <c r="P158" s="1801"/>
      <c r="Q158" s="875"/>
      <c r="R158" s="134"/>
      <c r="S158" s="875">
        <f ca="1">IF(R156=TRUE,32,((цб!N25*0.985-2*M167)-цб!N5)/2)</f>
        <v>17.756249999999994</v>
      </c>
      <c r="T158" s="234"/>
      <c r="U158" s="234"/>
      <c r="V158" s="234"/>
      <c r="AB158" s="253">
        <f t="shared" si="4"/>
        <v>290</v>
      </c>
      <c r="AC158" s="254">
        <f>IF(COUNTIF(AD$78:AD158,AD158)=1,MAX(AC$78:AC157)+1,"")</f>
        <v>11</v>
      </c>
      <c r="AD158" s="215">
        <f>'[2]Изложницы без бурта'!B158</f>
        <v>112.5</v>
      </c>
      <c r="AE158" s="215">
        <f>'[2]Изложницы без бурта'!C158</f>
        <v>320</v>
      </c>
      <c r="AF158" s="56">
        <f>'[2]Изложницы без бурта'!D158</f>
        <v>140</v>
      </c>
      <c r="AG158" s="56">
        <f>'[2]Изложницы без бурта'!E158</f>
        <v>115</v>
      </c>
      <c r="AH158" s="56" t="str">
        <f>'[2]Изложницы без бурта'!F158</f>
        <v>72.11869 - 6</v>
      </c>
      <c r="AI158" s="56" t="str">
        <f>'[2]Изложницы без бурта'!G158</f>
        <v>В наличии только один кокиль</v>
      </c>
      <c r="AJ158" s="56" t="str">
        <f>'[2]Изложницы без бурта'!H158</f>
        <v>6 шт. - 5 новых, 1 старый</v>
      </c>
      <c r="AK158" s="56">
        <f>'[2]Изложницы без бурта'!I158</f>
        <v>0</v>
      </c>
      <c r="AL158" s="56" t="s">
        <v>576</v>
      </c>
      <c r="AM158" s="56">
        <f>'[2]Изложницы без бурта'!K158</f>
        <v>45070</v>
      </c>
    </row>
    <row r="159" spans="1:50" ht="16.2" thickBot="1" x14ac:dyDescent="0.35">
      <c r="A159" s="56" t="s">
        <v>331</v>
      </c>
      <c r="K159" s="877" t="s">
        <v>379</v>
      </c>
      <c r="L159" s="875">
        <f>HLOOKUP(TRUE,K161:S162,2,FALSE)</f>
        <v>30</v>
      </c>
      <c r="M159" s="875" t="s">
        <v>386</v>
      </c>
      <c r="N159" s="875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875">
        <f>N159/100+1</f>
        <v>3</v>
      </c>
      <c r="P159" s="974" t="s">
        <v>396</v>
      </c>
      <c r="Q159" s="975">
        <f>IF(R156=TRUE,32,((цб!N4-цб!N5)/2))</f>
        <v>22</v>
      </c>
      <c r="R159" s="976"/>
      <c r="S159" s="876"/>
      <c r="T159" s="445"/>
      <c r="U159" s="445"/>
      <c r="V159" s="234"/>
      <c r="AB159" s="253">
        <f t="shared" si="4"/>
        <v>292.5</v>
      </c>
      <c r="AC159" s="254" t="str">
        <f>IF(COUNTIF(AD$78:AD159,AD159)=1,MAX(AC$78:AC158)+1,"")</f>
        <v/>
      </c>
      <c r="AD159" s="215">
        <f>'[2]Изложницы без бурта'!B159</f>
        <v>112.5</v>
      </c>
      <c r="AE159" s="215">
        <f>'[2]Изложницы без бурта'!C159</f>
        <v>315</v>
      </c>
      <c r="AF159" s="56">
        <f>'[2]Изложницы без бурта'!D159</f>
        <v>185</v>
      </c>
      <c r="AG159" s="56">
        <f>'[2]Изложницы без бурта'!E159</f>
        <v>320</v>
      </c>
      <c r="AH159" s="56" t="str">
        <f>'[2]Изложницы без бурта'!F159</f>
        <v>72.11869 - 6</v>
      </c>
      <c r="AI159" s="56">
        <f>'[2]Изложницы без бурта'!G159</f>
        <v>0</v>
      </c>
      <c r="AJ159" s="56" t="str">
        <f>'[2]Изложницы без бурта'!H159</f>
        <v>длиной 320 мм</v>
      </c>
      <c r="AK159" s="56">
        <f>'[2]Изложницы без бурта'!I159</f>
        <v>0</v>
      </c>
      <c r="AL159" s="56" t="s">
        <v>576</v>
      </c>
      <c r="AM159" s="56">
        <f>'[2]Изложницы без бурта'!K159</f>
        <v>0</v>
      </c>
    </row>
    <row r="160" spans="1:50" x14ac:dyDescent="0.25">
      <c r="A160" s="134"/>
      <c r="B160" s="134"/>
      <c r="C160" s="134"/>
      <c r="D160" s="134"/>
      <c r="E160" s="134"/>
      <c r="F160" s="134"/>
      <c r="G160" s="134"/>
      <c r="H160" s="134"/>
      <c r="K160" s="877" t="s">
        <v>385</v>
      </c>
      <c r="L160" s="875">
        <f ca="1">IF(Q160&lt;60,1,1.3)</f>
        <v>1</v>
      </c>
      <c r="M160" s="875"/>
      <c r="N160" s="875"/>
      <c r="O160" s="875"/>
      <c r="P160" s="875" t="s">
        <v>397</v>
      </c>
      <c r="Q160" s="875">
        <f ca="1">IF(R156=TRUE,32,(цб!N25*0.99-цб!N19)/2)</f>
        <v>35.587500000000006</v>
      </c>
      <c r="R160" s="774"/>
      <c r="S160" s="876"/>
      <c r="T160" s="234"/>
      <c r="U160" s="234"/>
      <c r="V160" s="234"/>
      <c r="AB160" s="253">
        <f t="shared" si="4"/>
        <v>295</v>
      </c>
      <c r="AC160" s="254" t="str">
        <f>IF(COUNTIF(AD$78:AD160,AD160)=1,MAX(AC$78:AC159)+1,"")</f>
        <v/>
      </c>
      <c r="AD160" s="215">
        <f>'[2]Изложницы без бурта'!B160</f>
        <v>112.5</v>
      </c>
      <c r="AE160" s="215">
        <f>'[2]Изложницы без бурта'!C160</f>
        <v>320</v>
      </c>
      <c r="AF160" s="56">
        <f>'[2]Изложницы без бурта'!D160</f>
        <v>140</v>
      </c>
      <c r="AG160" s="56">
        <f>'[2]Изложницы без бурта'!E160</f>
        <v>115</v>
      </c>
      <c r="AH160" s="56" t="str">
        <f>'[2]Изложницы без бурта'!F160</f>
        <v>72.11869 - 6</v>
      </c>
      <c r="AI160" s="56">
        <f>'[2]Изложницы без бурта'!G160</f>
        <v>0</v>
      </c>
      <c r="AJ160" s="56">
        <f>'[2]Изложницы без бурта'!H160</f>
        <v>0</v>
      </c>
      <c r="AK160" s="56">
        <f>'[2]Изложницы без бурта'!I160</f>
        <v>0</v>
      </c>
      <c r="AL160" s="56" t="s">
        <v>576</v>
      </c>
      <c r="AM160" s="56">
        <f>'[2]Изложницы без бурта'!K160</f>
        <v>0</v>
      </c>
    </row>
    <row r="161" spans="1:39" x14ac:dyDescent="0.25">
      <c r="A161" s="325"/>
      <c r="B161" s="326">
        <v>100</v>
      </c>
      <c r="C161" s="326">
        <v>200</v>
      </c>
      <c r="D161" s="326">
        <v>300</v>
      </c>
      <c r="E161" s="326">
        <v>400</v>
      </c>
      <c r="F161" s="326">
        <v>500</v>
      </c>
      <c r="G161" s="326">
        <v>600</v>
      </c>
      <c r="H161" s="327">
        <v>700</v>
      </c>
      <c r="K161" s="223" t="b">
        <f>Q159&lt;=A163</f>
        <v>0</v>
      </c>
      <c r="L161" s="134" t="b">
        <f>Q159&lt;=A164</f>
        <v>0</v>
      </c>
      <c r="M161" s="134" t="b">
        <f>Q159&lt;=A165</f>
        <v>1</v>
      </c>
      <c r="N161" s="134" t="b">
        <f>Q159&lt;=A166</f>
        <v>1</v>
      </c>
      <c r="O161" s="134" t="b">
        <f>Q159&lt;=A167</f>
        <v>1</v>
      </c>
      <c r="P161" s="134" t="b">
        <f>Q159&lt;=A168</f>
        <v>1</v>
      </c>
      <c r="Q161" s="134" t="b">
        <f>Q159&lt;=A169</f>
        <v>1</v>
      </c>
      <c r="R161" s="134" t="b">
        <f>Q159&lt;=A170</f>
        <v>1</v>
      </c>
      <c r="S161" s="876" t="b">
        <f>Q159&lt;=A171</f>
        <v>1</v>
      </c>
      <c r="T161" s="234"/>
      <c r="U161" s="234"/>
      <c r="V161" s="234"/>
      <c r="AB161" s="253">
        <f t="shared" si="4"/>
        <v>297.5</v>
      </c>
      <c r="AC161" s="254" t="str">
        <f>IF(COUNTIF(AD$78:AD161,AD161)=1,MAX(AC$78:AC160)+1,"")</f>
        <v/>
      </c>
      <c r="AD161" s="215">
        <f>'[2]Изложницы без бурта'!B161</f>
        <v>112.5</v>
      </c>
      <c r="AE161" s="215">
        <f>'[2]Изложницы без бурта'!C161</f>
        <v>255</v>
      </c>
      <c r="AF161" s="56">
        <f>'[2]Изложницы без бурта'!D161</f>
        <v>185</v>
      </c>
      <c r="AG161" s="56">
        <f>'[2]Изложницы без бурта'!E161</f>
        <v>320</v>
      </c>
      <c r="AH161" s="56" t="str">
        <f>'[2]Изложницы без бурта'!F161</f>
        <v>72.11868 - 6</v>
      </c>
      <c r="AI161" s="56">
        <f>'[2]Изложницы без бурта'!G161</f>
        <v>0</v>
      </c>
      <c r="AJ161" s="56">
        <f>'[2]Изложницы без бурта'!H161</f>
        <v>0</v>
      </c>
      <c r="AK161" s="56">
        <f>'[2]Изложницы без бурта'!I161</f>
        <v>0</v>
      </c>
      <c r="AL161" s="56" t="s">
        <v>576</v>
      </c>
      <c r="AM161" s="56">
        <f>'[2]Изложницы без бурта'!K161</f>
        <v>0</v>
      </c>
    </row>
    <row r="162" spans="1:39" ht="14.4" thickBot="1" x14ac:dyDescent="0.3">
      <c r="A162" s="325">
        <v>0</v>
      </c>
      <c r="B162" s="326">
        <v>3.5</v>
      </c>
      <c r="C162" s="326">
        <v>4.5</v>
      </c>
      <c r="D162" s="326">
        <v>5.5</v>
      </c>
      <c r="E162" s="326">
        <v>6.5</v>
      </c>
      <c r="F162" s="326">
        <v>7.5</v>
      </c>
      <c r="G162" s="326">
        <v>10</v>
      </c>
      <c r="H162" s="327">
        <v>10</v>
      </c>
      <c r="K162" s="306">
        <v>10</v>
      </c>
      <c r="L162" s="307">
        <v>20</v>
      </c>
      <c r="M162" s="307">
        <v>30</v>
      </c>
      <c r="N162" s="307">
        <v>50</v>
      </c>
      <c r="O162" s="307">
        <v>80</v>
      </c>
      <c r="P162" s="307">
        <v>120</v>
      </c>
      <c r="Q162" s="307">
        <v>150</v>
      </c>
      <c r="R162" s="307">
        <v>200</v>
      </c>
      <c r="S162" s="308">
        <v>300</v>
      </c>
      <c r="AB162" s="253">
        <f t="shared" si="4"/>
        <v>300</v>
      </c>
      <c r="AC162" s="254" t="str">
        <f>IF(COUNTIF(AD$78:AD162,AD162)=1,MAX(AC$78:AC161)+1,"")</f>
        <v/>
      </c>
      <c r="AD162" s="215">
        <f>'[2]Изложницы без бурта'!B162</f>
        <v>112.5</v>
      </c>
      <c r="AE162" s="215">
        <f>'[2]Изложницы без бурта'!C162</f>
        <v>260</v>
      </c>
      <c r="AF162" s="56">
        <f>'[2]Изложницы без бурта'!D162</f>
        <v>185</v>
      </c>
      <c r="AG162" s="56">
        <f>'[2]Изложницы без бурта'!E162</f>
        <v>320</v>
      </c>
      <c r="AH162" s="56" t="str">
        <f>'[2]Изложницы без бурта'!F162</f>
        <v>72.11868 - 6</v>
      </c>
      <c r="AI162" s="56">
        <f>'[2]Изложницы без бурта'!G162</f>
        <v>0</v>
      </c>
      <c r="AJ162" s="56">
        <f>'[2]Изложницы без бурта'!H162</f>
        <v>0</v>
      </c>
      <c r="AK162" s="56">
        <f>'[2]Изложницы без бурта'!I162</f>
        <v>0</v>
      </c>
      <c r="AL162" s="56" t="s">
        <v>576</v>
      </c>
      <c r="AM162" s="56">
        <f>'[2]Изложницы без бурта'!K162</f>
        <v>0</v>
      </c>
    </row>
    <row r="163" spans="1:39" x14ac:dyDescent="0.25">
      <c r="A163" s="325">
        <v>10</v>
      </c>
      <c r="B163" s="327">
        <v>4</v>
      </c>
      <c r="C163" s="326">
        <v>5</v>
      </c>
      <c r="D163" s="325">
        <v>6</v>
      </c>
      <c r="E163" s="325">
        <v>7.5</v>
      </c>
      <c r="F163" s="325">
        <v>8</v>
      </c>
      <c r="G163" s="325">
        <v>10</v>
      </c>
      <c r="H163" s="327">
        <v>10</v>
      </c>
      <c r="AB163" s="253">
        <f t="shared" si="4"/>
        <v>302.5</v>
      </c>
      <c r="AC163" s="254" t="str">
        <f>IF(COUNTIF(AD$78:AD163,AD163)=1,MAX(AC$78:AC162)+1,"")</f>
        <v/>
      </c>
      <c r="AD163" s="215">
        <f>'[2]Изложницы без бурта'!B163</f>
        <v>112.5</v>
      </c>
      <c r="AE163" s="215">
        <f>'[2]Изложницы без бурта'!C163</f>
        <v>255</v>
      </c>
      <c r="AF163" s="56">
        <f>'[2]Изложницы без бурта'!D163</f>
        <v>185</v>
      </c>
      <c r="AG163" s="56">
        <f>'[2]Изложницы без бурта'!E163</f>
        <v>320</v>
      </c>
      <c r="AH163" s="56" t="str">
        <f>'[2]Изложницы без бурта'!F163</f>
        <v>72.11868 - 6</v>
      </c>
      <c r="AI163" s="56">
        <f>'[2]Изложницы без бурта'!G163</f>
        <v>0</v>
      </c>
      <c r="AJ163" s="56">
        <f>'[2]Изложницы без бурта'!H163</f>
        <v>0</v>
      </c>
      <c r="AK163" s="56">
        <f>'[2]Изложницы без бурта'!I163</f>
        <v>0</v>
      </c>
      <c r="AL163" s="56" t="s">
        <v>576</v>
      </c>
      <c r="AM163" s="56">
        <f>'[2]Изложницы без бурта'!K163</f>
        <v>0</v>
      </c>
    </row>
    <row r="164" spans="1:39" x14ac:dyDescent="0.25">
      <c r="A164" s="325">
        <v>20</v>
      </c>
      <c r="B164" s="326">
        <v>7</v>
      </c>
      <c r="C164" s="325">
        <v>8</v>
      </c>
      <c r="D164" s="325">
        <v>10</v>
      </c>
      <c r="E164" s="325">
        <v>11.5</v>
      </c>
      <c r="F164" s="325">
        <v>12.5</v>
      </c>
      <c r="G164" s="325">
        <v>14</v>
      </c>
      <c r="H164" s="327">
        <v>14</v>
      </c>
      <c r="AB164" s="253">
        <f t="shared" si="4"/>
        <v>305</v>
      </c>
      <c r="AC164" s="254" t="str">
        <f>IF(COUNTIF(AD$78:AD164,AD164)=1,MAX(AC$78:AC163)+1,"")</f>
        <v/>
      </c>
      <c r="AD164" s="215">
        <f>'[2]Изложницы без бурта'!B164</f>
        <v>112.5</v>
      </c>
      <c r="AE164" s="215">
        <f>'[2]Изложницы без бурта'!C164</f>
        <v>260</v>
      </c>
      <c r="AF164" s="56">
        <f>'[2]Изложницы без бурта'!D164</f>
        <v>185</v>
      </c>
      <c r="AG164" s="56">
        <f>'[2]Изложницы без бурта'!E164</f>
        <v>320</v>
      </c>
      <c r="AH164" s="56" t="str">
        <f>'[2]Изложницы без бурта'!F164</f>
        <v>72.11868 - 6</v>
      </c>
      <c r="AI164" s="56">
        <f>'[2]Изложницы без бурта'!G164</f>
        <v>0</v>
      </c>
      <c r="AJ164" s="56">
        <f>'[2]Изложницы без бурта'!H164</f>
        <v>0</v>
      </c>
      <c r="AK164" s="56">
        <f>'[2]Изложницы без бурта'!I164</f>
        <v>0</v>
      </c>
      <c r="AL164" s="56" t="s">
        <v>576</v>
      </c>
      <c r="AM164" s="56">
        <f>'[2]Изложницы без бурта'!K164</f>
        <v>0</v>
      </c>
    </row>
    <row r="165" spans="1:39" x14ac:dyDescent="0.25">
      <c r="A165" s="325">
        <v>30</v>
      </c>
      <c r="B165" s="326">
        <v>10</v>
      </c>
      <c r="C165" s="326">
        <v>11</v>
      </c>
      <c r="D165" s="325">
        <v>12</v>
      </c>
      <c r="E165" s="325">
        <v>14</v>
      </c>
      <c r="F165" s="325">
        <v>15</v>
      </c>
      <c r="G165" s="325">
        <v>16.5</v>
      </c>
      <c r="H165" s="327">
        <v>16.5</v>
      </c>
      <c r="AB165" s="253">
        <f t="shared" si="4"/>
        <v>307.5</v>
      </c>
      <c r="AC165" s="254" t="str">
        <f>IF(COUNTIF(AD$78:AD165,AD165)=1,MAX(AC$78:AC164)+1,"")</f>
        <v/>
      </c>
      <c r="AD165" s="215">
        <f>'[2]Изложницы без бурта'!B165</f>
        <v>112.5</v>
      </c>
      <c r="AE165" s="215">
        <f>'[2]Изложницы без бурта'!C165</f>
        <v>258</v>
      </c>
      <c r="AF165" s="56">
        <f>'[2]Изложницы без бурта'!D165</f>
        <v>185</v>
      </c>
      <c r="AG165" s="56">
        <f>'[2]Изложницы без бурта'!E165</f>
        <v>320</v>
      </c>
      <c r="AH165" s="56" t="str">
        <f>'[2]Изложницы без бурта'!F165</f>
        <v>72.11868 - 6</v>
      </c>
      <c r="AI165" s="56">
        <f>'[2]Изложницы без бурта'!G165</f>
        <v>0</v>
      </c>
      <c r="AJ165" s="56">
        <f>'[2]Изложницы без бурта'!H165</f>
        <v>0</v>
      </c>
      <c r="AK165" s="56">
        <f>'[2]Изложницы без бурта'!I165</f>
        <v>0</v>
      </c>
      <c r="AL165" s="56" t="s">
        <v>576</v>
      </c>
      <c r="AM165" s="56">
        <f>'[2]Изложницы без бурта'!K165</f>
        <v>0</v>
      </c>
    </row>
    <row r="166" spans="1:39" x14ac:dyDescent="0.25">
      <c r="A166" s="327">
        <v>50</v>
      </c>
      <c r="B166" s="326">
        <v>13</v>
      </c>
      <c r="C166" s="326">
        <v>15</v>
      </c>
      <c r="D166" s="325">
        <v>18</v>
      </c>
      <c r="E166" s="325">
        <v>19.5</v>
      </c>
      <c r="F166" s="325">
        <v>21.5</v>
      </c>
      <c r="G166" s="325">
        <v>23</v>
      </c>
      <c r="H166" s="327">
        <v>23</v>
      </c>
      <c r="K166" s="215" t="s">
        <v>388</v>
      </c>
      <c r="L166" s="215">
        <f>IF(E157=1,HLOOKUP(N159,A161:H171,2,FALSE),IF(E157=2,HLOOKUP(N159,A175:H185,2,FALSE),HLOOKUP(N159,A190:H199,2,FALSE)))</f>
        <v>4.5</v>
      </c>
      <c r="M166" s="311" t="s">
        <v>395</v>
      </c>
      <c r="AB166" s="253">
        <f t="shared" si="4"/>
        <v>310</v>
      </c>
      <c r="AC166" s="254" t="str">
        <f>IF(COUNTIF(AD$78:AD166,AD166)=1,MAX(AC$78:AC165)+1,"")</f>
        <v/>
      </c>
      <c r="AD166" s="215">
        <f>'[2]Изложницы без бурта'!B166</f>
        <v>112.5</v>
      </c>
      <c r="AE166" s="215">
        <f>'[2]Изложницы без бурта'!C166</f>
        <v>255</v>
      </c>
      <c r="AF166" s="56">
        <f>'[2]Изложницы без бурта'!D166</f>
        <v>185</v>
      </c>
      <c r="AG166" s="56">
        <f>'[2]Изложницы без бурта'!E166</f>
        <v>320</v>
      </c>
      <c r="AH166" s="56" t="str">
        <f>'[2]Изложницы без бурта'!F166</f>
        <v>72.11868 - 6</v>
      </c>
      <c r="AI166" s="56">
        <f>'[2]Изложницы без бурта'!G166</f>
        <v>0</v>
      </c>
      <c r="AJ166" s="56">
        <f>'[2]Изложницы без бурта'!H166</f>
        <v>0</v>
      </c>
      <c r="AK166" s="56">
        <f>'[2]Изложницы без бурта'!I166</f>
        <v>0</v>
      </c>
      <c r="AL166" s="56" t="s">
        <v>576</v>
      </c>
      <c r="AM166" s="56">
        <f>'[2]Изложницы без бурта'!K166</f>
        <v>0</v>
      </c>
    </row>
    <row r="167" spans="1:39" x14ac:dyDescent="0.25">
      <c r="A167" s="327">
        <v>80</v>
      </c>
      <c r="B167" s="326">
        <v>13</v>
      </c>
      <c r="C167" s="326">
        <v>18</v>
      </c>
      <c r="D167" s="325">
        <v>20</v>
      </c>
      <c r="E167" s="325">
        <v>24.5</v>
      </c>
      <c r="F167" s="325">
        <v>25.5</v>
      </c>
      <c r="G167" s="325">
        <v>27</v>
      </c>
      <c r="H167" s="327">
        <v>27</v>
      </c>
      <c r="K167" s="215" t="s">
        <v>389</v>
      </c>
      <c r="L167" s="215">
        <f>IF(E157=1,VLOOKUP(L159,A161:H171,O159,FALSE),IF(E157=2,VLOOKUP(L159,A175:H184,O159,FALSE),VLOOKUP(L159,A190:H199,O159,FALSE)))</f>
        <v>8.5</v>
      </c>
      <c r="M167" s="311">
        <f ca="1">L167*L160</f>
        <v>8.5</v>
      </c>
      <c r="AB167" s="253">
        <f t="shared" si="4"/>
        <v>312.5</v>
      </c>
      <c r="AC167" s="254" t="str">
        <f>IF(COUNTIF(AD$78:AD167,AD167)=1,MAX(AC$78:AC166)+1,"")</f>
        <v/>
      </c>
      <c r="AD167" s="215">
        <f>'[2]Изложницы без бурта'!B167</f>
        <v>112.5</v>
      </c>
      <c r="AE167" s="215">
        <f>'[2]Изложницы без бурта'!C167</f>
        <v>255</v>
      </c>
      <c r="AF167" s="56">
        <f>'[2]Изложницы без бурта'!D167</f>
        <v>185</v>
      </c>
      <c r="AG167" s="56">
        <f>'[2]Изложницы без бурта'!E167</f>
        <v>320</v>
      </c>
      <c r="AH167" s="56" t="str">
        <f>'[2]Изложницы без бурта'!F167</f>
        <v>72.11868 - 6</v>
      </c>
      <c r="AI167" s="56">
        <f>'[2]Изложницы без бурта'!G167</f>
        <v>0</v>
      </c>
      <c r="AJ167" s="56">
        <f>'[2]Изложницы без бурта'!H167</f>
        <v>0</v>
      </c>
      <c r="AK167" s="56">
        <f>'[2]Изложницы без бурта'!I167</f>
        <v>0</v>
      </c>
      <c r="AL167" s="56" t="s">
        <v>576</v>
      </c>
      <c r="AM167" s="56">
        <f>'[2]Изложницы без бурта'!K167</f>
        <v>0</v>
      </c>
    </row>
    <row r="168" spans="1:39" x14ac:dyDescent="0.25">
      <c r="A168" s="327">
        <v>120</v>
      </c>
      <c r="B168" s="326">
        <v>13</v>
      </c>
      <c r="C168" s="326">
        <v>18</v>
      </c>
      <c r="D168" s="325">
        <v>22</v>
      </c>
      <c r="E168" s="325">
        <v>27.5</v>
      </c>
      <c r="F168" s="325">
        <v>28.5</v>
      </c>
      <c r="G168" s="325">
        <v>30</v>
      </c>
      <c r="H168" s="327">
        <v>30</v>
      </c>
      <c r="AB168" s="253">
        <f t="shared" si="4"/>
        <v>315</v>
      </c>
      <c r="AC168" s="254" t="str">
        <f>IF(COUNTIF(AD$78:AD168,AD168)=1,MAX(AC$78:AC167)+1,"")</f>
        <v/>
      </c>
      <c r="AD168" s="215">
        <f>'[2]Изложницы без бурта'!B168</f>
        <v>112.5</v>
      </c>
      <c r="AE168" s="215">
        <f>'[2]Изложницы без бурта'!C168</f>
        <v>260</v>
      </c>
      <c r="AF168" s="56">
        <f>'[2]Изложницы без бурта'!D168</f>
        <v>185</v>
      </c>
      <c r="AG168" s="56">
        <f>'[2]Изложницы без бурта'!E168</f>
        <v>320</v>
      </c>
      <c r="AH168" s="56" t="str">
        <f>'[2]Изложницы без бурта'!F168</f>
        <v>72.11868 - 6</v>
      </c>
      <c r="AI168" s="56">
        <f>'[2]Изложницы без бурта'!G168</f>
        <v>0</v>
      </c>
      <c r="AJ168" s="56">
        <f>'[2]Изложницы без бурта'!H168</f>
        <v>0</v>
      </c>
      <c r="AK168" s="56">
        <f>'[2]Изложницы без бурта'!I168</f>
        <v>0</v>
      </c>
      <c r="AL168" s="56" t="s">
        <v>576</v>
      </c>
      <c r="AM168" s="56">
        <f>'[2]Изложницы без бурта'!K168</f>
        <v>0</v>
      </c>
    </row>
    <row r="169" spans="1:39" x14ac:dyDescent="0.25">
      <c r="A169" s="327">
        <v>150</v>
      </c>
      <c r="B169" s="326">
        <v>13</v>
      </c>
      <c r="C169" s="326">
        <v>18</v>
      </c>
      <c r="D169" s="325">
        <v>24.5</v>
      </c>
      <c r="E169" s="325">
        <v>27.5</v>
      </c>
      <c r="F169" s="325">
        <v>28.5</v>
      </c>
      <c r="G169" s="327">
        <v>30</v>
      </c>
      <c r="H169" s="327">
        <v>32.5</v>
      </c>
      <c r="J169" s="325" t="s">
        <v>382</v>
      </c>
      <c r="K169" s="56">
        <f ca="1">VLOOKUP(E157,I173:O175,M169,FALSE)</f>
        <v>35</v>
      </c>
      <c r="L169" s="56" t="s">
        <v>398</v>
      </c>
      <c r="M169" s="325">
        <f ca="1">HLOOKUP(TRUE,J171:O172,2,FALSE)</f>
        <v>5</v>
      </c>
      <c r="AB169" s="253">
        <f t="shared" si="4"/>
        <v>317.5</v>
      </c>
      <c r="AC169" s="254" t="str">
        <f>IF(COUNTIF(AD$78:AD169,AD169)=1,MAX(AC$78:AC168)+1,"")</f>
        <v/>
      </c>
      <c r="AD169" s="215">
        <f>'[2]Изложницы без бурта'!B169</f>
        <v>112.5</v>
      </c>
      <c r="AE169" s="215">
        <f>'[2]Изложницы без бурта'!C169</f>
        <v>255</v>
      </c>
      <c r="AF169" s="56">
        <f>'[2]Изложницы без бурта'!D169</f>
        <v>185</v>
      </c>
      <c r="AG169" s="56">
        <f>'[2]Изложницы без бурта'!E169</f>
        <v>320</v>
      </c>
      <c r="AH169" s="56" t="str">
        <f>'[2]Изложницы без бурта'!F169</f>
        <v>72.11868 - 6</v>
      </c>
      <c r="AI169" s="56">
        <f>'[2]Изложницы без бурта'!G169</f>
        <v>0</v>
      </c>
      <c r="AJ169" s="56">
        <f>'[2]Изложницы без бурта'!H169</f>
        <v>0</v>
      </c>
      <c r="AK169" s="56">
        <f>'[2]Изложницы без бурта'!I169</f>
        <v>0</v>
      </c>
      <c r="AL169" s="56" t="s">
        <v>576</v>
      </c>
      <c r="AM169" s="56">
        <f>'[2]Изложницы без бурта'!K169</f>
        <v>0</v>
      </c>
    </row>
    <row r="170" spans="1:39" x14ac:dyDescent="0.25">
      <c r="A170" s="327">
        <v>200</v>
      </c>
      <c r="B170" s="326">
        <v>13</v>
      </c>
      <c r="C170" s="326">
        <v>18</v>
      </c>
      <c r="D170" s="325">
        <v>24.5</v>
      </c>
      <c r="E170" s="325">
        <v>27.5</v>
      </c>
      <c r="F170" s="325">
        <v>28.5</v>
      </c>
      <c r="G170" s="327">
        <v>30</v>
      </c>
      <c r="H170" s="327">
        <v>32.5</v>
      </c>
      <c r="J170" s="325">
        <v>15</v>
      </c>
      <c r="K170" s="325">
        <v>25</v>
      </c>
      <c r="L170" s="325">
        <v>35</v>
      </c>
      <c r="M170" s="325">
        <v>60</v>
      </c>
      <c r="N170" s="325">
        <v>100</v>
      </c>
      <c r="O170" s="325">
        <v>300</v>
      </c>
      <c r="AB170" s="253">
        <f t="shared" si="4"/>
        <v>320</v>
      </c>
      <c r="AC170" s="254">
        <f>IF(COUNTIF(AD$78:AD170,AD170)=1,MAX(AC$78:AC169)+1,"")</f>
        <v>12</v>
      </c>
      <c r="AD170" s="215">
        <f>'[2]Изложницы без бурта'!B170</f>
        <v>115</v>
      </c>
      <c r="AE170" s="215">
        <f>'[2]Изложницы без бурта'!C170</f>
        <v>255</v>
      </c>
      <c r="AF170" s="56">
        <f>'[2]Изложницы без бурта'!D170</f>
        <v>185</v>
      </c>
      <c r="AG170" s="56">
        <f>'[2]Изложницы без бурта'!E170</f>
        <v>320</v>
      </c>
      <c r="AH170" s="56" t="str">
        <f>'[2]Изложницы без бурта'!F170</f>
        <v>72.11868 - 7</v>
      </c>
      <c r="AI170" s="56">
        <f>'[2]Изложницы без бурта'!G170</f>
        <v>0</v>
      </c>
      <c r="AJ170" s="56">
        <f>'[2]Изложницы без бурта'!H170</f>
        <v>0</v>
      </c>
      <c r="AK170" s="56">
        <f>'[2]Изложницы без бурта'!I170</f>
        <v>0</v>
      </c>
      <c r="AL170" s="56" t="s">
        <v>577</v>
      </c>
      <c r="AM170" s="56">
        <f>'[2]Изложницы без бурта'!K170</f>
        <v>0</v>
      </c>
    </row>
    <row r="171" spans="1:39" x14ac:dyDescent="0.25">
      <c r="A171" s="327">
        <v>300</v>
      </c>
      <c r="B171" s="326">
        <v>13</v>
      </c>
      <c r="C171" s="326">
        <v>18</v>
      </c>
      <c r="D171" s="325">
        <v>24.5</v>
      </c>
      <c r="E171" s="325">
        <v>27.5</v>
      </c>
      <c r="F171" s="325">
        <v>28.5</v>
      </c>
      <c r="G171" s="327">
        <v>30</v>
      </c>
      <c r="H171" s="327">
        <v>32.5</v>
      </c>
      <c r="J171" s="56" t="b">
        <f t="shared" ref="J171:O171" ca="1" si="5">J170&gt;$Q160</f>
        <v>0</v>
      </c>
      <c r="K171" s="56" t="b">
        <f t="shared" ca="1" si="5"/>
        <v>0</v>
      </c>
      <c r="L171" s="56" t="b">
        <f t="shared" ca="1" si="5"/>
        <v>0</v>
      </c>
      <c r="M171" s="56" t="b">
        <f t="shared" ca="1" si="5"/>
        <v>1</v>
      </c>
      <c r="N171" s="56" t="b">
        <f t="shared" ca="1" si="5"/>
        <v>1</v>
      </c>
      <c r="O171" s="56" t="b">
        <f t="shared" ca="1" si="5"/>
        <v>1</v>
      </c>
      <c r="AB171" s="253">
        <f t="shared" si="4"/>
        <v>322.5</v>
      </c>
      <c r="AC171" s="254" t="str">
        <f>IF(COUNTIF(AD$78:AD171,AD171)=1,MAX(AC$78:AC170)+1,"")</f>
        <v/>
      </c>
      <c r="AD171" s="215">
        <f>'[2]Изложницы без бурта'!B171</f>
        <v>115</v>
      </c>
      <c r="AE171" s="215">
        <f>'[2]Изложницы без бурта'!C171</f>
        <v>257</v>
      </c>
      <c r="AF171" s="56">
        <f>'[2]Изложницы без бурта'!D171</f>
        <v>185</v>
      </c>
      <c r="AG171" s="56">
        <f>'[2]Изложницы без бурта'!E171</f>
        <v>320</v>
      </c>
      <c r="AH171" s="56" t="str">
        <f>'[2]Изложницы без бурта'!F171</f>
        <v>72.11868 - 7</v>
      </c>
      <c r="AI171" s="56">
        <f>'[2]Изложницы без бурта'!G171</f>
        <v>0</v>
      </c>
      <c r="AJ171" s="56">
        <f>'[2]Изложницы без бурта'!H171</f>
        <v>0</v>
      </c>
      <c r="AK171" s="56">
        <f>'[2]Изложницы без бурта'!I171</f>
        <v>0</v>
      </c>
      <c r="AL171" s="56" t="s">
        <v>577</v>
      </c>
      <c r="AM171" s="56">
        <f>'[2]Изложницы без бурта'!K171</f>
        <v>0</v>
      </c>
    </row>
    <row r="172" spans="1:39" x14ac:dyDescent="0.25">
      <c r="A172" s="134"/>
      <c r="B172" s="134"/>
      <c r="C172" s="134"/>
      <c r="D172" s="134"/>
      <c r="E172" s="134"/>
      <c r="F172" s="134"/>
      <c r="G172" s="134"/>
      <c r="H172" s="134"/>
      <c r="J172" s="325">
        <v>2</v>
      </c>
      <c r="K172" s="325">
        <v>3</v>
      </c>
      <c r="L172" s="325">
        <v>4</v>
      </c>
      <c r="M172" s="325">
        <v>5</v>
      </c>
      <c r="N172" s="325">
        <v>6</v>
      </c>
      <c r="O172" s="325">
        <v>7</v>
      </c>
      <c r="AB172" s="253">
        <f t="shared" si="4"/>
        <v>325</v>
      </c>
      <c r="AC172" s="254" t="str">
        <f>IF(COUNTIF(AD$78:AD172,AD172)=1,MAX(AC$78:AC171)+1,"")</f>
        <v/>
      </c>
      <c r="AD172" s="215">
        <f>'[2]Изложницы без бурта'!B172</f>
        <v>115</v>
      </c>
      <c r="AE172" s="215">
        <f>'[2]Изложницы без бурта'!C172</f>
        <v>257</v>
      </c>
      <c r="AF172" s="56">
        <f>'[2]Изложницы без бурта'!D172</f>
        <v>185</v>
      </c>
      <c r="AG172" s="56">
        <f>'[2]Изложницы без бурта'!E172</f>
        <v>320</v>
      </c>
      <c r="AH172" s="56" t="str">
        <f>'[2]Изложницы без бурта'!F172</f>
        <v>72.11868 - 7</v>
      </c>
      <c r="AI172" s="56">
        <f>'[2]Изложницы без бурта'!G172</f>
        <v>0</v>
      </c>
      <c r="AJ172" s="56">
        <f>'[2]Изложницы без бурта'!H172</f>
        <v>0</v>
      </c>
      <c r="AK172" s="56">
        <f>'[2]Изложницы без бурта'!I172</f>
        <v>0</v>
      </c>
      <c r="AL172" s="56" t="s">
        <v>577</v>
      </c>
      <c r="AM172" s="56">
        <f>'[2]Изложницы без бурта'!K172</f>
        <v>0</v>
      </c>
    </row>
    <row r="173" spans="1:39" x14ac:dyDescent="0.25">
      <c r="A173" s="56" t="s">
        <v>387</v>
      </c>
      <c r="H173" s="134"/>
      <c r="I173" s="56">
        <v>1</v>
      </c>
      <c r="J173" s="325">
        <v>25</v>
      </c>
      <c r="K173" s="325">
        <v>32</v>
      </c>
      <c r="L173" s="325">
        <v>37</v>
      </c>
      <c r="M173" s="325">
        <v>45</v>
      </c>
      <c r="N173" s="325">
        <v>55</v>
      </c>
      <c r="O173" s="325">
        <v>60</v>
      </c>
      <c r="AB173" s="253">
        <f t="shared" si="4"/>
        <v>327.5</v>
      </c>
      <c r="AC173" s="254" t="str">
        <f>IF(COUNTIF(AD$78:AD173,AD173)=1,MAX(AC$78:AC172)+1,"")</f>
        <v/>
      </c>
      <c r="AD173" s="215">
        <f>'[2]Изложницы без бурта'!B173</f>
        <v>115</v>
      </c>
      <c r="AE173" s="215">
        <f>'[2]Изложницы без бурта'!C173</f>
        <v>260</v>
      </c>
      <c r="AF173" s="56">
        <f>'[2]Изложницы без бурта'!D173</f>
        <v>185</v>
      </c>
      <c r="AG173" s="56">
        <f>'[2]Изложницы без бурта'!E173</f>
        <v>320</v>
      </c>
      <c r="AH173" s="56" t="str">
        <f>'[2]Изложницы без бурта'!F173</f>
        <v>72.11868 - 7</v>
      </c>
      <c r="AI173" s="56">
        <f>'[2]Изложницы без бурта'!G173</f>
        <v>0</v>
      </c>
      <c r="AJ173" s="56">
        <f>'[2]Изложницы без бурта'!H173</f>
        <v>0</v>
      </c>
      <c r="AK173" s="56">
        <f>'[2]Изложницы без бурта'!I173</f>
        <v>0</v>
      </c>
      <c r="AL173" s="56" t="s">
        <v>577</v>
      </c>
      <c r="AM173" s="56">
        <f>'[2]Изложницы без бурта'!K173</f>
        <v>0</v>
      </c>
    </row>
    <row r="174" spans="1:39" x14ac:dyDescent="0.25">
      <c r="A174" s="327"/>
      <c r="B174" s="327"/>
      <c r="C174" s="327"/>
      <c r="D174" s="327"/>
      <c r="E174" s="327"/>
      <c r="F174" s="327"/>
      <c r="G174" s="327"/>
      <c r="H174" s="327"/>
      <c r="I174" s="56">
        <v>2</v>
      </c>
      <c r="J174" s="325">
        <v>20</v>
      </c>
      <c r="K174" s="325">
        <v>28</v>
      </c>
      <c r="L174" s="325">
        <v>32</v>
      </c>
      <c r="M174" s="325">
        <v>40</v>
      </c>
      <c r="N174" s="325">
        <v>45</v>
      </c>
      <c r="O174" s="325">
        <v>50</v>
      </c>
      <c r="AB174" s="253">
        <f t="shared" si="4"/>
        <v>330</v>
      </c>
      <c r="AC174" s="254" t="str">
        <f>IF(COUNTIF(AD$78:AD174,AD174)=1,MAX(AC$78:AC173)+1,"")</f>
        <v/>
      </c>
      <c r="AD174" s="215">
        <f>'[2]Изложницы без бурта'!B174</f>
        <v>115</v>
      </c>
      <c r="AE174" s="215">
        <f>'[2]Изложницы без бурта'!C174</f>
        <v>260</v>
      </c>
      <c r="AF174" s="56">
        <f>'[2]Изложницы без бурта'!D174</f>
        <v>185</v>
      </c>
      <c r="AG174" s="56">
        <f>'[2]Изложницы без бурта'!E174</f>
        <v>320</v>
      </c>
      <c r="AH174" s="56" t="str">
        <f>'[2]Изложницы без бурта'!F174</f>
        <v>72.11868 - 7</v>
      </c>
      <c r="AI174" s="56">
        <f>'[2]Изложницы без бурта'!G174</f>
        <v>0</v>
      </c>
      <c r="AJ174" s="56">
        <f>'[2]Изложницы без бурта'!H174</f>
        <v>0</v>
      </c>
      <c r="AK174" s="56">
        <f>'[2]Изложницы без бурта'!I174</f>
        <v>0</v>
      </c>
      <c r="AL174" s="56" t="s">
        <v>577</v>
      </c>
      <c r="AM174" s="56">
        <f>'[2]Изложницы без бурта'!K174</f>
        <v>0</v>
      </c>
    </row>
    <row r="175" spans="1:39" x14ac:dyDescent="0.25">
      <c r="A175" s="325"/>
      <c r="B175" s="326">
        <v>100</v>
      </c>
      <c r="C175" s="326">
        <v>200</v>
      </c>
      <c r="D175" s="326">
        <v>300</v>
      </c>
      <c r="E175" s="326">
        <v>400</v>
      </c>
      <c r="F175" s="326">
        <v>500</v>
      </c>
      <c r="G175" s="326">
        <v>600</v>
      </c>
      <c r="H175" s="325">
        <v>700</v>
      </c>
      <c r="I175" s="56">
        <v>3</v>
      </c>
      <c r="J175" s="325">
        <v>20</v>
      </c>
      <c r="K175" s="325">
        <v>25</v>
      </c>
      <c r="L175" s="325">
        <v>30</v>
      </c>
      <c r="M175" s="325">
        <v>35</v>
      </c>
      <c r="N175" s="325">
        <v>40</v>
      </c>
      <c r="O175" s="325">
        <v>45</v>
      </c>
      <c r="AB175" s="253">
        <f t="shared" si="4"/>
        <v>332.5</v>
      </c>
      <c r="AC175" s="254" t="str">
        <f>IF(COUNTIF(AD$78:AD175,AD175)=1,MAX(AC$78:AC174)+1,"")</f>
        <v/>
      </c>
      <c r="AD175" s="215">
        <f>'[2]Изложницы без бурта'!B175</f>
        <v>115</v>
      </c>
      <c r="AE175" s="215">
        <f>'[2]Изложницы без бурта'!C175</f>
        <v>257</v>
      </c>
      <c r="AF175" s="56">
        <f>'[2]Изложницы без бурта'!D175</f>
        <v>185</v>
      </c>
      <c r="AG175" s="56">
        <f>'[2]Изложницы без бурта'!E175</f>
        <v>320</v>
      </c>
      <c r="AH175" s="56" t="str">
        <f>'[2]Изложницы без бурта'!F175</f>
        <v>72.11868 - 7</v>
      </c>
      <c r="AI175" s="56">
        <f>'[2]Изложницы без бурта'!G175</f>
        <v>0</v>
      </c>
      <c r="AJ175" s="56">
        <f>'[2]Изложницы без бурта'!H175</f>
        <v>0</v>
      </c>
      <c r="AK175" s="56">
        <f>'[2]Изложницы без бурта'!I175</f>
        <v>0</v>
      </c>
      <c r="AL175" s="56" t="s">
        <v>577</v>
      </c>
      <c r="AM175" s="56">
        <f>'[2]Изложницы без бурта'!K175</f>
        <v>0</v>
      </c>
    </row>
    <row r="176" spans="1:39" x14ac:dyDescent="0.25">
      <c r="A176" s="325">
        <v>0</v>
      </c>
      <c r="B176" s="326">
        <v>3.5</v>
      </c>
      <c r="C176" s="326">
        <v>4.5</v>
      </c>
      <c r="D176" s="326">
        <v>5.5</v>
      </c>
      <c r="E176" s="326">
        <v>6.5</v>
      </c>
      <c r="F176" s="326">
        <v>7.5</v>
      </c>
      <c r="G176" s="326">
        <v>10</v>
      </c>
      <c r="H176" s="325">
        <v>10</v>
      </c>
      <c r="J176" s="310"/>
      <c r="K176" s="310"/>
      <c r="L176" s="310"/>
      <c r="M176" s="310"/>
      <c r="N176" s="310"/>
      <c r="O176" s="310"/>
      <c r="AB176" s="253">
        <f t="shared" si="4"/>
        <v>335</v>
      </c>
      <c r="AC176" s="254" t="str">
        <f>IF(COUNTIF(AD$78:AD176,AD176)=1,MAX(AC$78:AC175)+1,"")</f>
        <v/>
      </c>
      <c r="AD176" s="215">
        <f>'[2]Изложницы без бурта'!B176</f>
        <v>115</v>
      </c>
      <c r="AE176" s="215">
        <f>'[2]Изложницы без бурта'!C176</f>
        <v>257</v>
      </c>
      <c r="AF176" s="56">
        <f>'[2]Изложницы без бурта'!D176</f>
        <v>185</v>
      </c>
      <c r="AG176" s="56">
        <f>'[2]Изложницы без бурта'!E176</f>
        <v>320</v>
      </c>
      <c r="AH176" s="56" t="str">
        <f>'[2]Изложницы без бурта'!F176</f>
        <v>72.11868 - 7</v>
      </c>
      <c r="AI176" s="56">
        <f>'[2]Изложницы без бурта'!G176</f>
        <v>0</v>
      </c>
      <c r="AJ176" s="56">
        <f>'[2]Изложницы без бурта'!H176</f>
        <v>0</v>
      </c>
      <c r="AK176" s="56">
        <f>'[2]Изложницы без бурта'!I176</f>
        <v>0</v>
      </c>
      <c r="AL176" s="56" t="s">
        <v>577</v>
      </c>
      <c r="AM176" s="56">
        <f>'[2]Изложницы без бурта'!K176</f>
        <v>0</v>
      </c>
    </row>
    <row r="177" spans="1:39" x14ac:dyDescent="0.25">
      <c r="A177" s="325">
        <v>10</v>
      </c>
      <c r="B177" s="327">
        <v>4</v>
      </c>
      <c r="C177" s="326">
        <v>5</v>
      </c>
      <c r="D177" s="325">
        <v>6</v>
      </c>
      <c r="E177" s="325">
        <v>7.5</v>
      </c>
      <c r="F177" s="325">
        <v>8.5</v>
      </c>
      <c r="G177" s="325">
        <v>10</v>
      </c>
      <c r="H177" s="325">
        <v>10</v>
      </c>
      <c r="J177" s="310"/>
      <c r="K177" s="310"/>
      <c r="L177" s="310"/>
      <c r="M177" s="310"/>
      <c r="N177" s="310"/>
      <c r="O177" s="310"/>
      <c r="AB177" s="253">
        <f t="shared" si="4"/>
        <v>337.5</v>
      </c>
      <c r="AC177" s="254" t="str">
        <f>IF(COUNTIF(AD$78:AD177,AD177)=1,MAX(AC$78:AC176)+1,"")</f>
        <v/>
      </c>
      <c r="AD177" s="215">
        <f>'[2]Изложницы без бурта'!B177</f>
        <v>115</v>
      </c>
      <c r="AE177" s="215">
        <f>'[2]Изложницы без бурта'!C177</f>
        <v>260</v>
      </c>
      <c r="AF177" s="56">
        <f>'[2]Изложницы без бурта'!D177</f>
        <v>185</v>
      </c>
      <c r="AG177" s="56">
        <f>'[2]Изложницы без бурта'!E177</f>
        <v>320</v>
      </c>
      <c r="AH177" s="56" t="str">
        <f>'[2]Изложницы без бурта'!F177</f>
        <v>72.11868 - 7</v>
      </c>
      <c r="AI177" s="56">
        <f>'[2]Изложницы без бурта'!G177</f>
        <v>0</v>
      </c>
      <c r="AJ177" s="56">
        <f>'[2]Изложницы без бурта'!H177</f>
        <v>0</v>
      </c>
      <c r="AK177" s="56">
        <f>'[2]Изложницы без бурта'!I177</f>
        <v>0</v>
      </c>
      <c r="AL177" s="56" t="s">
        <v>577</v>
      </c>
      <c r="AM177" s="56">
        <f>'[2]Изложницы без бурта'!K177</f>
        <v>0</v>
      </c>
    </row>
    <row r="178" spans="1:39" x14ac:dyDescent="0.25">
      <c r="A178" s="325">
        <v>20</v>
      </c>
      <c r="B178" s="326">
        <v>6.5</v>
      </c>
      <c r="C178" s="325">
        <v>7.5</v>
      </c>
      <c r="D178" s="325">
        <v>10.5</v>
      </c>
      <c r="E178" s="325">
        <v>10.5</v>
      </c>
      <c r="F178" s="325">
        <v>11.5</v>
      </c>
      <c r="G178" s="325">
        <v>13</v>
      </c>
      <c r="H178" s="325">
        <v>13</v>
      </c>
      <c r="J178" s="310"/>
      <c r="AB178" s="253">
        <f t="shared" si="4"/>
        <v>340</v>
      </c>
      <c r="AC178" s="254" t="str">
        <f>IF(COUNTIF(AD$78:AD178,AD178)=1,MAX(AC$78:AC177)+1,"")</f>
        <v/>
      </c>
      <c r="AD178" s="215">
        <f>'[2]Изложницы без бурта'!B178</f>
        <v>115</v>
      </c>
      <c r="AE178" s="215">
        <f>'[2]Изложницы без бурта'!C178</f>
        <v>257</v>
      </c>
      <c r="AF178" s="56">
        <f>'[2]Изложницы без бурта'!D178</f>
        <v>185</v>
      </c>
      <c r="AG178" s="56">
        <f>'[2]Изложницы без бурта'!E178</f>
        <v>320</v>
      </c>
      <c r="AH178" s="56" t="str">
        <f>'[2]Изложницы без бурта'!F178</f>
        <v>72.11868 - 7</v>
      </c>
      <c r="AI178" s="56">
        <f>'[2]Изложницы без бурта'!G178</f>
        <v>0</v>
      </c>
      <c r="AJ178" s="56">
        <f>'[2]Изложницы без бурта'!H178</f>
        <v>0</v>
      </c>
      <c r="AK178" s="56">
        <f>'[2]Изложницы без бурта'!I178</f>
        <v>0</v>
      </c>
      <c r="AL178" s="56" t="s">
        <v>577</v>
      </c>
      <c r="AM178" s="56">
        <f>'[2]Изложницы без бурта'!K178</f>
        <v>0</v>
      </c>
    </row>
    <row r="179" spans="1:39" x14ac:dyDescent="0.25">
      <c r="A179" s="325">
        <v>30</v>
      </c>
      <c r="B179" s="326">
        <v>8.5</v>
      </c>
      <c r="C179" s="326">
        <v>9.5</v>
      </c>
      <c r="D179" s="325">
        <v>10.5</v>
      </c>
      <c r="E179" s="325">
        <v>12.5</v>
      </c>
      <c r="F179" s="325">
        <v>13.5</v>
      </c>
      <c r="G179" s="325">
        <v>15</v>
      </c>
      <c r="H179" s="325">
        <v>15</v>
      </c>
      <c r="K179" s="324"/>
      <c r="L179" s="324" t="s">
        <v>394</v>
      </c>
      <c r="M179" s="324">
        <f>VLOOKUP(TRUE,Данные!J183:Q193,O179,FALSE)</f>
        <v>8</v>
      </c>
      <c r="N179" s="324" t="s">
        <v>944</v>
      </c>
      <c r="O179" s="324">
        <f>HLOOKUP(TRUE,L181:Q182,2,FALSE)+1</f>
        <v>4</v>
      </c>
      <c r="P179" s="324"/>
      <c r="AB179" s="253">
        <f t="shared" si="4"/>
        <v>347.5</v>
      </c>
      <c r="AC179" s="254">
        <f>IF(COUNTIF(AD$78:AD179,AD179)=1,MAX(AC$78:AC178)+1,"")</f>
        <v>13</v>
      </c>
      <c r="AD179" s="215">
        <f>'[2]Изложницы без бурта'!B179</f>
        <v>117.5</v>
      </c>
      <c r="AE179" s="215">
        <f>'[2]Изложницы без бурта'!C179</f>
        <v>255</v>
      </c>
      <c r="AF179" s="56">
        <f>'[2]Изложницы без бурта'!D179</f>
        <v>185</v>
      </c>
      <c r="AG179" s="56">
        <f>'[2]Изложницы без бурта'!E179</f>
        <v>320</v>
      </c>
      <c r="AH179" s="56" t="str">
        <f>'[2]Изложницы без бурта'!F179</f>
        <v>72.11868 - 8</v>
      </c>
      <c r="AI179" s="56">
        <f>'[2]Изложницы без бурта'!G179</f>
        <v>0</v>
      </c>
      <c r="AJ179" s="56">
        <f>'[2]Изложницы без бурта'!H179</f>
        <v>0</v>
      </c>
      <c r="AK179" s="56">
        <f>'[2]Изложницы без бурта'!I179</f>
        <v>0</v>
      </c>
      <c r="AL179" s="56" t="s">
        <v>578</v>
      </c>
      <c r="AM179" s="56">
        <f>'[2]Изложницы без бурта'!K179</f>
        <v>0</v>
      </c>
    </row>
    <row r="180" spans="1:39" x14ac:dyDescent="0.25">
      <c r="A180" s="327">
        <v>50</v>
      </c>
      <c r="B180" s="326">
        <v>8.5</v>
      </c>
      <c r="C180" s="326">
        <v>13</v>
      </c>
      <c r="D180" s="325">
        <v>15</v>
      </c>
      <c r="E180" s="325">
        <v>17.5</v>
      </c>
      <c r="F180" s="325">
        <v>19.5</v>
      </c>
      <c r="G180" s="325">
        <v>21</v>
      </c>
      <c r="H180" s="325">
        <v>21</v>
      </c>
      <c r="K180" s="324"/>
      <c r="L180" s="324">
        <v>15</v>
      </c>
      <c r="M180" s="324">
        <v>30</v>
      </c>
      <c r="N180" s="324">
        <v>45</v>
      </c>
      <c r="O180" s="324">
        <v>75</v>
      </c>
      <c r="P180" s="324">
        <v>100</v>
      </c>
      <c r="Q180" s="324">
        <v>300</v>
      </c>
      <c r="AB180" s="253">
        <f t="shared" si="4"/>
        <v>350</v>
      </c>
      <c r="AC180" s="254" t="str">
        <f>IF(COUNTIF(AD$78:AD180,AD180)=1,MAX(AC$78:AC179)+1,"")</f>
        <v/>
      </c>
      <c r="AD180" s="215">
        <f>'[2]Изложницы без бурта'!B180</f>
        <v>117.5</v>
      </c>
      <c r="AE180" s="215">
        <f>'[2]Изложницы без бурта'!C180</f>
        <v>260</v>
      </c>
      <c r="AF180" s="56">
        <f>'[2]Изложницы без бурта'!D180</f>
        <v>185</v>
      </c>
      <c r="AG180" s="56">
        <f>'[2]Изложницы без бурта'!E180</f>
        <v>320</v>
      </c>
      <c r="AH180" s="56" t="str">
        <f>'[2]Изложницы без бурта'!F180</f>
        <v>72.11868 - 8</v>
      </c>
      <c r="AI180" s="56">
        <f>'[2]Изложницы без бурта'!G180</f>
        <v>0</v>
      </c>
      <c r="AJ180" s="56">
        <f>'[2]Изложницы без бурта'!H180</f>
        <v>0</v>
      </c>
      <c r="AK180" s="56">
        <f>'[2]Изложницы без бурта'!I180</f>
        <v>0</v>
      </c>
      <c r="AL180" s="56" t="s">
        <v>578</v>
      </c>
      <c r="AM180" s="56">
        <f>'[2]Изложницы без бурта'!K180</f>
        <v>0</v>
      </c>
    </row>
    <row r="181" spans="1:39" x14ac:dyDescent="0.25">
      <c r="A181" s="327">
        <v>80</v>
      </c>
      <c r="B181" s="326">
        <v>8.5</v>
      </c>
      <c r="C181" s="326">
        <v>13</v>
      </c>
      <c r="D181" s="325">
        <v>17.5</v>
      </c>
      <c r="E181" s="325">
        <v>21</v>
      </c>
      <c r="F181" s="325">
        <v>22</v>
      </c>
      <c r="G181" s="325">
        <v>23.5</v>
      </c>
      <c r="H181" s="325">
        <v>23.5</v>
      </c>
      <c r="K181" s="311"/>
      <c r="L181" s="328" t="b">
        <f t="shared" ref="L181:Q181" si="6">$Q159&lt;L180</f>
        <v>0</v>
      </c>
      <c r="M181" s="328" t="b">
        <f t="shared" si="6"/>
        <v>1</v>
      </c>
      <c r="N181" s="328" t="b">
        <f t="shared" si="6"/>
        <v>1</v>
      </c>
      <c r="O181" s="328" t="b">
        <f t="shared" si="6"/>
        <v>1</v>
      </c>
      <c r="P181" s="328" t="b">
        <f t="shared" si="6"/>
        <v>1</v>
      </c>
      <c r="Q181" s="328" t="b">
        <f t="shared" si="6"/>
        <v>1</v>
      </c>
      <c r="AB181" s="253">
        <f t="shared" si="4"/>
        <v>355</v>
      </c>
      <c r="AC181" s="254" t="str">
        <f>IF(COUNTIF(AD$78:AD181,AD181)=1,MAX(AC$78:AC180)+1,"")</f>
        <v/>
      </c>
      <c r="AD181" s="215">
        <f>'[2]Изложницы без бурта'!B181</f>
        <v>117.5</v>
      </c>
      <c r="AE181" s="215">
        <f>'[2]Изложницы без бурта'!C181</f>
        <v>260</v>
      </c>
      <c r="AF181" s="56">
        <f>'[2]Изложницы без бурта'!D181</f>
        <v>185</v>
      </c>
      <c r="AG181" s="56">
        <f>'[2]Изложницы без бурта'!E181</f>
        <v>320</v>
      </c>
      <c r="AH181" s="56" t="str">
        <f>'[2]Изложницы без бурта'!F181</f>
        <v>72.11868 - 8</v>
      </c>
      <c r="AI181" s="56">
        <f>'[2]Изложницы без бурта'!G181</f>
        <v>0</v>
      </c>
      <c r="AJ181" s="56">
        <f>'[2]Изложницы без бурта'!H181</f>
        <v>0</v>
      </c>
      <c r="AK181" s="56">
        <f>'[2]Изложницы без бурта'!I181</f>
        <v>0</v>
      </c>
      <c r="AL181" s="56" t="s">
        <v>578</v>
      </c>
      <c r="AM181" s="56">
        <f>'[2]Изложницы без бурта'!K181</f>
        <v>0</v>
      </c>
    </row>
    <row r="182" spans="1:39" x14ac:dyDescent="0.25">
      <c r="A182" s="327">
        <v>120</v>
      </c>
      <c r="B182" s="326">
        <v>8.5</v>
      </c>
      <c r="C182" s="326">
        <v>13</v>
      </c>
      <c r="D182" s="325">
        <v>18.5</v>
      </c>
      <c r="E182" s="325">
        <v>23.5</v>
      </c>
      <c r="F182" s="325">
        <v>24.5</v>
      </c>
      <c r="G182" s="325">
        <v>26</v>
      </c>
      <c r="H182" s="325">
        <v>26</v>
      </c>
      <c r="K182" s="325">
        <v>1</v>
      </c>
      <c r="L182" s="325">
        <v>2</v>
      </c>
      <c r="M182" s="325">
        <v>3</v>
      </c>
      <c r="N182" s="325">
        <v>4</v>
      </c>
      <c r="O182" s="325">
        <v>5</v>
      </c>
      <c r="P182" s="325">
        <v>6</v>
      </c>
      <c r="Q182" s="325">
        <v>7</v>
      </c>
      <c r="AB182" s="253">
        <f t="shared" si="4"/>
        <v>360</v>
      </c>
      <c r="AC182" s="254">
        <f>IF(COUNTIF(AD$78:AD182,AD182)=1,MAX(AC$78:AC181)+1,"")</f>
        <v>14</v>
      </c>
      <c r="AD182" s="215">
        <f>'[2]Изложницы без бурта'!B182</f>
        <v>120</v>
      </c>
      <c r="AE182" s="215">
        <f>'[2]Изложницы без бурта'!C182</f>
        <v>260</v>
      </c>
      <c r="AF182" s="56">
        <f>'[2]Изложницы без бурта'!D182</f>
        <v>185</v>
      </c>
      <c r="AG182" s="56">
        <f>'[2]Изложницы без бурта'!E182</f>
        <v>320</v>
      </c>
      <c r="AH182" s="56" t="str">
        <f>'[2]Изложницы без бурта'!F182</f>
        <v>72.11868 - 9</v>
      </c>
      <c r="AI182" s="56">
        <f>'[2]Изложницы без бурта'!G182</f>
        <v>0</v>
      </c>
      <c r="AJ182" s="56">
        <f>'[2]Изложницы без бурта'!H182</f>
        <v>0</v>
      </c>
      <c r="AK182" s="56">
        <f>'[2]Изложницы без бурта'!I182</f>
        <v>0</v>
      </c>
      <c r="AL182" s="56" t="s">
        <v>579</v>
      </c>
      <c r="AM182" s="56">
        <f>'[2]Изложницы без бурта'!K182</f>
        <v>0</v>
      </c>
    </row>
    <row r="183" spans="1:39" x14ac:dyDescent="0.25">
      <c r="A183" s="327">
        <v>150</v>
      </c>
      <c r="B183" s="326">
        <v>8.5</v>
      </c>
      <c r="C183" s="326">
        <v>13</v>
      </c>
      <c r="D183" s="325">
        <v>18.5</v>
      </c>
      <c r="E183" s="325">
        <v>23.5</v>
      </c>
      <c r="F183" s="325">
        <v>24.5</v>
      </c>
      <c r="G183" s="327">
        <v>28</v>
      </c>
      <c r="H183" s="325">
        <v>28</v>
      </c>
      <c r="J183" s="56" t="b">
        <f>цб!$N$4&lt;=Данные!K183</f>
        <v>0</v>
      </c>
      <c r="K183" s="325">
        <v>100</v>
      </c>
      <c r="L183" s="325">
        <v>6</v>
      </c>
      <c r="M183" s="325">
        <v>8</v>
      </c>
      <c r="N183" s="325">
        <v>10</v>
      </c>
      <c r="O183" s="325">
        <v>12</v>
      </c>
      <c r="P183" s="325">
        <v>12</v>
      </c>
      <c r="Q183" s="325">
        <v>14</v>
      </c>
      <c r="AB183" s="253">
        <f t="shared" si="4"/>
        <v>365</v>
      </c>
      <c r="AC183" s="254" t="str">
        <f>IF(COUNTIF(AD$78:AD183,AD183)=1,MAX(AC$78:AC182)+1,"")</f>
        <v/>
      </c>
      <c r="AD183" s="215">
        <f>'[2]Изложницы без бурта'!B183</f>
        <v>120</v>
      </c>
      <c r="AE183" s="215">
        <f>'[2]Изложницы без бурта'!C183</f>
        <v>260</v>
      </c>
      <c r="AF183" s="56">
        <f>'[2]Изложницы без бурта'!D183</f>
        <v>185</v>
      </c>
      <c r="AG183" s="56">
        <f>'[2]Изложницы без бурта'!E183</f>
        <v>320</v>
      </c>
      <c r="AH183" s="56" t="str">
        <f>'[2]Изложницы без бурта'!F183</f>
        <v>72.11868 - 9</v>
      </c>
      <c r="AI183" s="56">
        <f>'[2]Изложницы без бурта'!G183</f>
        <v>0</v>
      </c>
      <c r="AJ183" s="56">
        <f>'[2]Изложницы без бурта'!H183</f>
        <v>0</v>
      </c>
      <c r="AK183" s="56">
        <f>'[2]Изложницы без бурта'!I183</f>
        <v>0</v>
      </c>
      <c r="AL183" s="56" t="s">
        <v>579</v>
      </c>
      <c r="AM183" s="56">
        <f>'[2]Изложницы без бурта'!K183</f>
        <v>0</v>
      </c>
    </row>
    <row r="184" spans="1:39" x14ac:dyDescent="0.25">
      <c r="A184" s="327">
        <v>200</v>
      </c>
      <c r="B184" s="326">
        <v>8.5</v>
      </c>
      <c r="C184" s="326">
        <v>13</v>
      </c>
      <c r="D184" s="325">
        <v>18.5</v>
      </c>
      <c r="E184" s="325">
        <v>23.5</v>
      </c>
      <c r="F184" s="325">
        <v>24.5</v>
      </c>
      <c r="G184" s="327">
        <v>28</v>
      </c>
      <c r="H184" s="325">
        <v>28</v>
      </c>
      <c r="J184" s="56" t="b">
        <f>цб!$N$4&lt;=Данные!K184</f>
        <v>1</v>
      </c>
      <c r="K184" s="325">
        <v>150</v>
      </c>
      <c r="L184" s="325">
        <v>6</v>
      </c>
      <c r="M184" s="325">
        <v>8</v>
      </c>
      <c r="N184" s="325">
        <v>10</v>
      </c>
      <c r="O184" s="325">
        <v>12</v>
      </c>
      <c r="P184" s="325">
        <v>12</v>
      </c>
      <c r="Q184" s="325">
        <v>14</v>
      </c>
      <c r="AB184" s="253">
        <f t="shared" si="4"/>
        <v>367.5</v>
      </c>
      <c r="AC184" s="254" t="str">
        <f>IF(COUNTIF(AD$78:AD184,AD184)=1,MAX(AC$78:AC183)+1,"")</f>
        <v/>
      </c>
      <c r="AD184" s="215">
        <f>'[2]Изложницы без бурта'!B184</f>
        <v>120</v>
      </c>
      <c r="AE184" s="215">
        <f>'[2]Изложницы без бурта'!C184</f>
        <v>255</v>
      </c>
      <c r="AF184" s="56">
        <f>'[2]Изложницы без бурта'!D184</f>
        <v>185</v>
      </c>
      <c r="AG184" s="56">
        <f>'[2]Изложницы без бурта'!E184</f>
        <v>320</v>
      </c>
      <c r="AH184" s="56" t="str">
        <f>'[2]Изложницы без бурта'!F184</f>
        <v>72.11868 - 9</v>
      </c>
      <c r="AI184" s="56">
        <f>'[2]Изложницы без бурта'!G184</f>
        <v>0</v>
      </c>
      <c r="AJ184" s="56">
        <f>'[2]Изложницы без бурта'!H184</f>
        <v>0</v>
      </c>
      <c r="AK184" s="56">
        <f>'[2]Изложницы без бурта'!I184</f>
        <v>0</v>
      </c>
      <c r="AL184" s="56" t="s">
        <v>579</v>
      </c>
      <c r="AM184" s="56">
        <f>'[2]Изложницы без бурта'!K184</f>
        <v>0</v>
      </c>
    </row>
    <row r="185" spans="1:39" x14ac:dyDescent="0.25">
      <c r="A185" s="327"/>
      <c r="B185" s="326"/>
      <c r="C185" s="326"/>
      <c r="D185" s="325"/>
      <c r="E185" s="325"/>
      <c r="F185" s="325"/>
      <c r="G185" s="327"/>
      <c r="H185" s="325"/>
      <c r="J185" s="56" t="b">
        <f>цб!$N$4&lt;=Данные!K185</f>
        <v>1</v>
      </c>
      <c r="K185" s="325">
        <v>200</v>
      </c>
      <c r="L185" s="325">
        <v>6</v>
      </c>
      <c r="M185" s="325">
        <v>8</v>
      </c>
      <c r="N185" s="325">
        <v>10</v>
      </c>
      <c r="O185" s="325">
        <v>12</v>
      </c>
      <c r="P185" s="325">
        <v>12</v>
      </c>
      <c r="Q185" s="325">
        <v>14</v>
      </c>
      <c r="AB185" s="253">
        <f t="shared" si="4"/>
        <v>370</v>
      </c>
      <c r="AC185" s="254" t="str">
        <f>IF(COUNTIF(AD$78:AD185,AD185)=1,MAX(AC$78:AC184)+1,"")</f>
        <v/>
      </c>
      <c r="AD185" s="215">
        <f>'[2]Изложницы без бурта'!B185</f>
        <v>120</v>
      </c>
      <c r="AE185" s="215">
        <f>'[2]Изложницы без бурта'!C185</f>
        <v>258</v>
      </c>
      <c r="AF185" s="56">
        <f>'[2]Изложницы без бурта'!D185</f>
        <v>185</v>
      </c>
      <c r="AG185" s="56">
        <f>'[2]Изложницы без бурта'!E185</f>
        <v>320</v>
      </c>
      <c r="AH185" s="56" t="str">
        <f>'[2]Изложницы без бурта'!F185</f>
        <v>72.11868 - 9</v>
      </c>
      <c r="AI185" s="56">
        <f>'[2]Изложницы без бурта'!G185</f>
        <v>0</v>
      </c>
      <c r="AJ185" s="56">
        <f>'[2]Изложницы без бурта'!H185</f>
        <v>0</v>
      </c>
      <c r="AK185" s="56">
        <f>'[2]Изложницы без бурта'!I185</f>
        <v>0</v>
      </c>
      <c r="AL185" s="56" t="s">
        <v>579</v>
      </c>
      <c r="AM185" s="56">
        <f>'[2]Изложницы без бурта'!K185</f>
        <v>0</v>
      </c>
    </row>
    <row r="186" spans="1:39" x14ac:dyDescent="0.25">
      <c r="A186" s="234"/>
      <c r="J186" s="56" t="b">
        <f>цб!$N$4&lt;=Данные!K186</f>
        <v>1</v>
      </c>
      <c r="K186" s="325">
        <v>250</v>
      </c>
      <c r="L186" s="325">
        <v>6</v>
      </c>
      <c r="M186" s="325">
        <v>8</v>
      </c>
      <c r="N186" s="325">
        <v>10</v>
      </c>
      <c r="O186" s="325">
        <v>12</v>
      </c>
      <c r="P186" s="325">
        <v>12</v>
      </c>
      <c r="Q186" s="325">
        <v>14</v>
      </c>
      <c r="AB186" s="253">
        <f t="shared" si="4"/>
        <v>372.5</v>
      </c>
      <c r="AC186" s="254" t="str">
        <f>IF(COUNTIF(AD$78:AD186,AD186)=1,MAX(AC$78:AC185)+1,"")</f>
        <v/>
      </c>
      <c r="AD186" s="215">
        <f>'[2]Изложницы без бурта'!B186</f>
        <v>120</v>
      </c>
      <c r="AE186" s="215">
        <f>'[2]Изложницы без бурта'!C186</f>
        <v>258</v>
      </c>
      <c r="AF186" s="56">
        <f>'[2]Изложницы без бурта'!D186</f>
        <v>185</v>
      </c>
      <c r="AG186" s="56">
        <f>'[2]Изложницы без бурта'!E186</f>
        <v>320</v>
      </c>
      <c r="AH186" s="56" t="str">
        <f>'[2]Изложницы без бурта'!F186</f>
        <v>72.11868 - 9</v>
      </c>
      <c r="AI186" s="56">
        <f>'[2]Изложницы без бурта'!G186</f>
        <v>0</v>
      </c>
      <c r="AJ186" s="56">
        <f>'[2]Изложницы без бурта'!H186</f>
        <v>0</v>
      </c>
      <c r="AK186" s="56">
        <f>'[2]Изложницы без бурта'!I186</f>
        <v>0</v>
      </c>
      <c r="AL186" s="56" t="s">
        <v>579</v>
      </c>
      <c r="AM186" s="56">
        <f>'[2]Изложницы без бурта'!K186</f>
        <v>0</v>
      </c>
    </row>
    <row r="187" spans="1:39" x14ac:dyDescent="0.25">
      <c r="A187" s="234"/>
      <c r="J187" s="56" t="b">
        <f>цб!$N$4&lt;=Данные!K187</f>
        <v>1</v>
      </c>
      <c r="K187" s="325">
        <v>300</v>
      </c>
      <c r="L187" s="325">
        <v>6</v>
      </c>
      <c r="M187" s="325">
        <v>8</v>
      </c>
      <c r="N187" s="325">
        <v>10</v>
      </c>
      <c r="O187" s="325">
        <v>12</v>
      </c>
      <c r="P187" s="325">
        <v>14</v>
      </c>
      <c r="Q187" s="325">
        <v>14</v>
      </c>
      <c r="AB187" s="253">
        <f t="shared" si="4"/>
        <v>377.5</v>
      </c>
      <c r="AC187" s="254">
        <f>IF(COUNTIF(AD$78:AD187,AD187)=1,MAX(AC$78:AC186)+1,"")</f>
        <v>15</v>
      </c>
      <c r="AD187" s="215">
        <f>'[2]Изложницы без бурта'!B187</f>
        <v>122.5</v>
      </c>
      <c r="AE187" s="215">
        <f>'[2]Изложницы без бурта'!C187</f>
        <v>257</v>
      </c>
      <c r="AF187" s="56">
        <f>'[2]Изложницы без бурта'!D187</f>
        <v>185</v>
      </c>
      <c r="AG187" s="56">
        <f>'[2]Изложницы без бурта'!E187</f>
        <v>320</v>
      </c>
      <c r="AH187" s="56" t="str">
        <f>'[2]Изложницы без бурта'!F187</f>
        <v>72.11868 - 10</v>
      </c>
      <c r="AI187" s="56">
        <f>'[2]Изложницы без бурта'!G187</f>
        <v>0</v>
      </c>
      <c r="AJ187" s="56">
        <f>'[2]Изложницы без бурта'!H187</f>
        <v>0</v>
      </c>
      <c r="AK187" s="56">
        <f>'[2]Изложницы без бурта'!I187</f>
        <v>0</v>
      </c>
      <c r="AL187" s="56" t="s">
        <v>580</v>
      </c>
      <c r="AM187" s="56">
        <f>'[2]Изложницы без бурта'!K187</f>
        <v>0</v>
      </c>
    </row>
    <row r="188" spans="1:39" x14ac:dyDescent="0.25">
      <c r="A188" s="56" t="s">
        <v>390</v>
      </c>
      <c r="J188" s="56" t="b">
        <f>цб!$N$4&lt;=Данные!K188</f>
        <v>1</v>
      </c>
      <c r="K188" s="325">
        <v>350</v>
      </c>
      <c r="L188" s="325">
        <v>6</v>
      </c>
      <c r="M188" s="325">
        <v>8</v>
      </c>
      <c r="N188" s="325">
        <v>10</v>
      </c>
      <c r="O188" s="325">
        <v>12</v>
      </c>
      <c r="P188" s="325">
        <v>14</v>
      </c>
      <c r="Q188" s="325">
        <v>14</v>
      </c>
      <c r="AB188" s="253">
        <f t="shared" si="4"/>
        <v>380</v>
      </c>
      <c r="AC188" s="254" t="str">
        <f>IF(COUNTIF(AD$78:AD188,AD188)=1,MAX(AC$78:AC187)+1,"")</f>
        <v/>
      </c>
      <c r="AD188" s="215">
        <f>'[2]Изложницы без бурта'!B188</f>
        <v>122.5</v>
      </c>
      <c r="AE188" s="215">
        <f>'[2]Изложницы без бурта'!C188</f>
        <v>260</v>
      </c>
      <c r="AF188" s="56">
        <f>'[2]Изложницы без бурта'!D188</f>
        <v>185</v>
      </c>
      <c r="AG188" s="56">
        <f>'[2]Изложницы без бурта'!E188</f>
        <v>320</v>
      </c>
      <c r="AH188" s="56" t="str">
        <f>'[2]Изложницы без бурта'!F188</f>
        <v>72.11868 - 10</v>
      </c>
      <c r="AI188" s="56">
        <f>'[2]Изложницы без бурта'!G188</f>
        <v>0</v>
      </c>
      <c r="AJ188" s="56">
        <f>'[2]Изложницы без бурта'!H188</f>
        <v>0</v>
      </c>
      <c r="AK188" s="56">
        <f>'[2]Изложницы без бурта'!I188</f>
        <v>0</v>
      </c>
      <c r="AL188" s="56" t="s">
        <v>580</v>
      </c>
      <c r="AM188" s="56">
        <f>'[2]Изложницы без бурта'!K188</f>
        <v>0</v>
      </c>
    </row>
    <row r="189" spans="1:39" x14ac:dyDescent="0.25">
      <c r="A189" s="327"/>
      <c r="B189" s="327"/>
      <c r="C189" s="327"/>
      <c r="D189" s="327"/>
      <c r="E189" s="327"/>
      <c r="F189" s="327"/>
      <c r="G189" s="327"/>
      <c r="H189" s="325"/>
      <c r="J189" s="56" t="b">
        <f>цб!$N$4&lt;=Данные!K189</f>
        <v>1</v>
      </c>
      <c r="K189" s="325">
        <v>400</v>
      </c>
      <c r="L189" s="325">
        <v>6</v>
      </c>
      <c r="M189" s="325">
        <v>10</v>
      </c>
      <c r="N189" s="325">
        <v>10</v>
      </c>
      <c r="O189" s="325">
        <v>12</v>
      </c>
      <c r="P189" s="325">
        <v>14</v>
      </c>
      <c r="Q189" s="325">
        <v>14</v>
      </c>
      <c r="AB189" s="253">
        <f t="shared" si="4"/>
        <v>382.5</v>
      </c>
      <c r="AC189" s="254" t="str">
        <f>IF(COUNTIF(AD$78:AD189,AD189)=1,MAX(AC$78:AC188)+1,"")</f>
        <v/>
      </c>
      <c r="AD189" s="215">
        <f>'[2]Изложницы без бурта'!B189</f>
        <v>122.5</v>
      </c>
      <c r="AE189" s="215">
        <f>'[2]Изложницы без бурта'!C189</f>
        <v>260</v>
      </c>
      <c r="AF189" s="56">
        <f>'[2]Изложницы без бурта'!D189</f>
        <v>185</v>
      </c>
      <c r="AG189" s="56">
        <f>'[2]Изложницы без бурта'!E189</f>
        <v>320</v>
      </c>
      <c r="AH189" s="56" t="str">
        <f>'[2]Изложницы без бурта'!F189</f>
        <v>72.11868 - 10</v>
      </c>
      <c r="AI189" s="56">
        <f>'[2]Изложницы без бурта'!G189</f>
        <v>0</v>
      </c>
      <c r="AJ189" s="56">
        <f>'[2]Изложницы без бурта'!H189</f>
        <v>0</v>
      </c>
      <c r="AK189" s="56">
        <f>'[2]Изложницы без бурта'!I189</f>
        <v>0</v>
      </c>
      <c r="AL189" s="56" t="s">
        <v>580</v>
      </c>
      <c r="AM189" s="56">
        <f>'[2]Изложницы без бурта'!K189</f>
        <v>0</v>
      </c>
    </row>
    <row r="190" spans="1:39" x14ac:dyDescent="0.25">
      <c r="A190" s="325"/>
      <c r="B190" s="326">
        <v>100</v>
      </c>
      <c r="C190" s="326">
        <v>200</v>
      </c>
      <c r="D190" s="326">
        <v>300</v>
      </c>
      <c r="E190" s="326">
        <v>400</v>
      </c>
      <c r="F190" s="326">
        <v>500</v>
      </c>
      <c r="G190" s="326">
        <v>600</v>
      </c>
      <c r="H190" s="325">
        <v>700</v>
      </c>
      <c r="J190" s="56" t="b">
        <f>цб!$N$4&lt;=Данные!K190</f>
        <v>1</v>
      </c>
      <c r="K190" s="325">
        <v>600</v>
      </c>
      <c r="L190" s="325">
        <v>10</v>
      </c>
      <c r="M190" s="325">
        <v>10</v>
      </c>
      <c r="N190" s="325">
        <v>12</v>
      </c>
      <c r="O190" s="325">
        <v>14</v>
      </c>
      <c r="P190" s="325">
        <v>14</v>
      </c>
      <c r="Q190" s="325">
        <v>14</v>
      </c>
      <c r="AB190" s="253">
        <f t="shared" si="4"/>
        <v>385</v>
      </c>
      <c r="AC190" s="254" t="str">
        <f>IF(COUNTIF(AD$78:AD190,AD190)=1,MAX(AC$78:AC189)+1,"")</f>
        <v/>
      </c>
      <c r="AD190" s="215">
        <f>'[2]Изложницы без бурта'!B190</f>
        <v>122.5</v>
      </c>
      <c r="AE190" s="215">
        <f>'[2]Изложницы без бурта'!C190</f>
        <v>260</v>
      </c>
      <c r="AF190" s="56">
        <f>'[2]Изложницы без бурта'!D190</f>
        <v>185</v>
      </c>
      <c r="AG190" s="56">
        <f>'[2]Изложницы без бурта'!E190</f>
        <v>320</v>
      </c>
      <c r="AH190" s="56" t="str">
        <f>'[2]Изложницы без бурта'!F190</f>
        <v>72.11868 - 10</v>
      </c>
      <c r="AI190" s="56">
        <f>'[2]Изложницы без бурта'!G190</f>
        <v>0</v>
      </c>
      <c r="AJ190" s="56">
        <f>'[2]Изложницы без бурта'!H190</f>
        <v>0</v>
      </c>
      <c r="AK190" s="56">
        <f>'[2]Изложницы без бурта'!I190</f>
        <v>0</v>
      </c>
      <c r="AL190" s="56" t="s">
        <v>580</v>
      </c>
      <c r="AM190" s="56">
        <f>'[2]Изложницы без бурта'!K190</f>
        <v>0</v>
      </c>
    </row>
    <row r="191" spans="1:39" x14ac:dyDescent="0.25">
      <c r="A191" s="325">
        <v>0</v>
      </c>
      <c r="B191" s="326">
        <v>3.5</v>
      </c>
      <c r="C191" s="326">
        <v>4.5</v>
      </c>
      <c r="D191" s="326">
        <v>5.5</v>
      </c>
      <c r="E191" s="326">
        <v>6.5</v>
      </c>
      <c r="F191" s="326">
        <v>7.5</v>
      </c>
      <c r="G191" s="326">
        <v>10</v>
      </c>
      <c r="H191" s="325">
        <v>10</v>
      </c>
      <c r="J191" s="56" t="b">
        <f>цб!$N$4&lt;=Данные!K191</f>
        <v>1</v>
      </c>
      <c r="K191" s="326">
        <v>800</v>
      </c>
      <c r="L191" s="326">
        <v>12</v>
      </c>
      <c r="M191" s="326">
        <v>12</v>
      </c>
      <c r="N191" s="326">
        <v>15</v>
      </c>
      <c r="O191" s="326">
        <v>17</v>
      </c>
      <c r="P191" s="326">
        <v>17</v>
      </c>
      <c r="Q191" s="326">
        <v>17</v>
      </c>
      <c r="AB191" s="253">
        <f t="shared" si="4"/>
        <v>390</v>
      </c>
      <c r="AC191" s="254" t="str">
        <f>IF(COUNTIF(AD$78:AD191,AD191)=1,MAX(AC$78:AC190)+1,"")</f>
        <v/>
      </c>
      <c r="AD191" s="215">
        <f>'[2]Изложницы без бурта'!B191</f>
        <v>122.5</v>
      </c>
      <c r="AE191" s="215">
        <f>'[2]Изложницы без бурта'!C191</f>
        <v>320</v>
      </c>
      <c r="AF191" s="56">
        <f>'[2]Изложницы без бурта'!D191</f>
        <v>185</v>
      </c>
      <c r="AG191" s="56">
        <f>'[2]Изложницы без бурта'!E191</f>
        <v>320</v>
      </c>
      <c r="AH191" s="56" t="str">
        <f>'[2]Изложницы без бурта'!F191</f>
        <v>72.11869 - 11</v>
      </c>
      <c r="AI191" s="56">
        <f>'[2]Изложницы без бурта'!G191</f>
        <v>0</v>
      </c>
      <c r="AJ191" s="56">
        <f>'[2]Изложницы без бурта'!H191</f>
        <v>0</v>
      </c>
      <c r="AK191" s="56">
        <f>'[2]Изложницы без бурта'!I191</f>
        <v>0</v>
      </c>
      <c r="AL191" s="56" t="s">
        <v>580</v>
      </c>
      <c r="AM191" s="56">
        <f>'[2]Изложницы без бурта'!K191</f>
        <v>0</v>
      </c>
    </row>
    <row r="192" spans="1:39" x14ac:dyDescent="0.25">
      <c r="A192" s="325">
        <v>10</v>
      </c>
      <c r="B192" s="327">
        <v>4</v>
      </c>
      <c r="C192" s="326">
        <v>5</v>
      </c>
      <c r="D192" s="325">
        <v>6</v>
      </c>
      <c r="E192" s="325">
        <v>7.5</v>
      </c>
      <c r="F192" s="325">
        <v>8.5</v>
      </c>
      <c r="G192" s="325">
        <v>10</v>
      </c>
      <c r="H192" s="325">
        <v>10</v>
      </c>
      <c r="J192" s="56" t="b">
        <f>цб!$N$4&lt;=Данные!K192</f>
        <v>1</v>
      </c>
      <c r="K192" s="326">
        <v>1200</v>
      </c>
      <c r="L192" s="326">
        <v>16</v>
      </c>
      <c r="M192" s="326">
        <v>16</v>
      </c>
      <c r="N192" s="326">
        <v>18</v>
      </c>
      <c r="O192" s="326">
        <v>20</v>
      </c>
      <c r="P192" s="326">
        <v>20</v>
      </c>
      <c r="Q192" s="326">
        <v>20</v>
      </c>
      <c r="AB192" s="253">
        <f t="shared" si="4"/>
        <v>392.5</v>
      </c>
      <c r="AC192" s="254">
        <f>IF(COUNTIF(AD$78:AD192,AD192)=1,MAX(AC$78:AC191)+1,"")</f>
        <v>16</v>
      </c>
      <c r="AD192" s="215">
        <f>'[2]Изложницы без бурта'!B192</f>
        <v>125</v>
      </c>
      <c r="AE192" s="215">
        <f>'[2]Изложницы без бурта'!C192</f>
        <v>255</v>
      </c>
      <c r="AF192" s="56">
        <f>'[2]Изложницы без бурта'!D192</f>
        <v>185</v>
      </c>
      <c r="AG192" s="56">
        <f>'[2]Изложницы без бурта'!E192</f>
        <v>320</v>
      </c>
      <c r="AH192" s="56" t="str">
        <f>'[2]Изложницы без бурта'!F192</f>
        <v>72.11868 - 11</v>
      </c>
      <c r="AI192" s="56">
        <f>'[2]Изложницы без бурта'!G192</f>
        <v>0</v>
      </c>
      <c r="AJ192" s="56">
        <f>'[2]Изложницы без бурта'!H192</f>
        <v>0</v>
      </c>
      <c r="AK192" s="56">
        <f>'[2]Изложницы без бурта'!I192</f>
        <v>0</v>
      </c>
      <c r="AL192" s="56" t="s">
        <v>581</v>
      </c>
      <c r="AM192" s="56">
        <f>'[2]Изложницы без бурта'!K192</f>
        <v>0</v>
      </c>
    </row>
    <row r="193" spans="1:39" x14ac:dyDescent="0.25">
      <c r="A193" s="325">
        <v>20</v>
      </c>
      <c r="B193" s="326">
        <v>5.5</v>
      </c>
      <c r="C193" s="325">
        <v>6.5</v>
      </c>
      <c r="D193" s="325">
        <v>7.5</v>
      </c>
      <c r="E193" s="325">
        <v>10</v>
      </c>
      <c r="F193" s="325">
        <v>11</v>
      </c>
      <c r="G193" s="325">
        <v>12.5</v>
      </c>
      <c r="H193" s="325">
        <v>15</v>
      </c>
      <c r="J193" s="56" t="b">
        <f>цб!$N$4&lt;=Данные!K193</f>
        <v>1</v>
      </c>
      <c r="K193" s="325">
        <v>1500</v>
      </c>
      <c r="L193" s="325">
        <v>20</v>
      </c>
      <c r="M193" s="325">
        <v>20</v>
      </c>
      <c r="N193" s="325">
        <v>25</v>
      </c>
      <c r="O193" s="325">
        <v>25</v>
      </c>
      <c r="P193" s="325">
        <v>25</v>
      </c>
      <c r="Q193" s="325">
        <v>25</v>
      </c>
      <c r="AB193" s="253">
        <f t="shared" si="4"/>
        <v>397.5</v>
      </c>
      <c r="AC193" s="254" t="str">
        <f>IF(COUNTIF(AD$78:AD193,AD193)=1,MAX(AC$78:AC192)+1,"")</f>
        <v/>
      </c>
      <c r="AD193" s="215">
        <f>'[2]Изложницы без бурта'!B193</f>
        <v>125</v>
      </c>
      <c r="AE193" s="215">
        <f>'[2]Изложницы без бурта'!C193</f>
        <v>260</v>
      </c>
      <c r="AF193" s="56">
        <f>'[2]Изложницы без бурта'!D193</f>
        <v>185</v>
      </c>
      <c r="AG193" s="56">
        <f>'[2]Изложницы без бурта'!E193</f>
        <v>320</v>
      </c>
      <c r="AH193" s="56" t="str">
        <f>'[2]Изложницы без бурта'!F193</f>
        <v>72.11868 - 11</v>
      </c>
      <c r="AI193" s="56">
        <f>'[2]Изложницы без бурта'!G193</f>
        <v>0</v>
      </c>
      <c r="AJ193" s="56">
        <f>'[2]Изложницы без бурта'!H193</f>
        <v>0</v>
      </c>
      <c r="AK193" s="56">
        <f>'[2]Изложницы без бурта'!I193</f>
        <v>0</v>
      </c>
      <c r="AL193" s="56" t="s">
        <v>581</v>
      </c>
      <c r="AM193" s="56">
        <f>'[2]Изложницы без бурта'!K193</f>
        <v>0</v>
      </c>
    </row>
    <row r="194" spans="1:39" ht="14.4" thickBot="1" x14ac:dyDescent="0.3">
      <c r="A194" s="325">
        <v>30</v>
      </c>
      <c r="B194" s="326">
        <v>7.5</v>
      </c>
      <c r="C194" s="326">
        <v>8.5</v>
      </c>
      <c r="D194" s="325">
        <v>9.5</v>
      </c>
      <c r="E194" s="325">
        <v>11.5</v>
      </c>
      <c r="F194" s="325">
        <v>12.5</v>
      </c>
      <c r="G194" s="325">
        <v>14</v>
      </c>
      <c r="H194" s="325">
        <v>14</v>
      </c>
      <c r="AB194" s="253">
        <f t="shared" si="4"/>
        <v>405</v>
      </c>
      <c r="AC194" s="254" t="str">
        <f>IF(COUNTIF(AD$78:AD194,AD194)=1,MAX(AC$78:AC193)+1,"")</f>
        <v/>
      </c>
      <c r="AD194" s="215">
        <f>'[2]Изложницы без бурта'!B194</f>
        <v>125</v>
      </c>
      <c r="AE194" s="215">
        <f>'[2]Изложницы без бурта'!C194</f>
        <v>257</v>
      </c>
      <c r="AF194" s="56">
        <f>'[2]Изложницы без бурта'!D194</f>
        <v>185</v>
      </c>
      <c r="AG194" s="56">
        <f>'[2]Изложницы без бурта'!E194</f>
        <v>320</v>
      </c>
      <c r="AH194" s="56" t="str">
        <f>'[2]Изложницы без бурта'!F194</f>
        <v>72.11868 - 11</v>
      </c>
      <c r="AI194" s="56">
        <f>'[2]Изложницы без бурта'!G194</f>
        <v>0</v>
      </c>
      <c r="AJ194" s="56">
        <f>'[2]Изложницы без бурта'!H194</f>
        <v>0</v>
      </c>
      <c r="AK194" s="56">
        <f>'[2]Изложницы без бурта'!I194</f>
        <v>0</v>
      </c>
      <c r="AL194" s="56" t="s">
        <v>581</v>
      </c>
      <c r="AM194" s="56">
        <f>'[2]Изложницы без бурта'!K194</f>
        <v>0</v>
      </c>
    </row>
    <row r="195" spans="1:39" x14ac:dyDescent="0.25">
      <c r="A195" s="327">
        <v>50</v>
      </c>
      <c r="B195" s="326">
        <v>7.5</v>
      </c>
      <c r="C195" s="326">
        <v>11</v>
      </c>
      <c r="D195" s="325">
        <v>13.5</v>
      </c>
      <c r="E195" s="325">
        <v>15</v>
      </c>
      <c r="F195" s="325">
        <v>16.5</v>
      </c>
      <c r="G195" s="325">
        <v>18</v>
      </c>
      <c r="H195" s="325">
        <v>18</v>
      </c>
      <c r="J195" s="310"/>
      <c r="K195" s="310"/>
      <c r="L195" s="310"/>
      <c r="M195" s="1289" t="s">
        <v>1175</v>
      </c>
      <c r="N195" s="1290"/>
      <c r="O195" s="1290"/>
      <c r="P195" s="1290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4"/>
      <c r="AB195" s="253">
        <f t="shared" si="4"/>
        <v>410</v>
      </c>
      <c r="AC195" s="254" t="str">
        <f>IF(COUNTIF(AD$78:AD195,AD195)=1,MAX(AC$78:AC194)+1,"")</f>
        <v/>
      </c>
      <c r="AD195" s="215">
        <f>'[2]Изложницы без бурта'!B195</f>
        <v>125</v>
      </c>
      <c r="AE195" s="215">
        <f>'[2]Изложницы без бурта'!C195</f>
        <v>315</v>
      </c>
      <c r="AF195" s="56">
        <f>'[2]Изложницы без бурта'!D195</f>
        <v>185</v>
      </c>
      <c r="AG195" s="56">
        <f>'[2]Изложницы без бурта'!E195</f>
        <v>320</v>
      </c>
      <c r="AH195" s="56" t="str">
        <f>'[2]Изложницы без бурта'!F195</f>
        <v>72.11869 - 11</v>
      </c>
      <c r="AI195" s="56">
        <f>'[2]Изложницы без бурта'!G195</f>
        <v>0</v>
      </c>
      <c r="AJ195" s="56">
        <f>'[2]Изложницы без бурта'!H195</f>
        <v>0</v>
      </c>
      <c r="AK195" s="56">
        <f>'[2]Изложницы без бурта'!I195</f>
        <v>0</v>
      </c>
      <c r="AL195" s="56" t="s">
        <v>581</v>
      </c>
      <c r="AM195" s="56">
        <f>'[2]Изложницы без бурта'!K195</f>
        <v>0</v>
      </c>
    </row>
    <row r="196" spans="1:39" ht="14.4" thickBot="1" x14ac:dyDescent="0.3">
      <c r="A196" s="327">
        <v>80</v>
      </c>
      <c r="B196" s="326">
        <v>7.5</v>
      </c>
      <c r="C196" s="325">
        <v>15</v>
      </c>
      <c r="D196" s="325">
        <v>14.5</v>
      </c>
      <c r="E196" s="325">
        <v>18</v>
      </c>
      <c r="F196" s="325">
        <v>19</v>
      </c>
      <c r="G196" s="325">
        <v>20.5</v>
      </c>
      <c r="H196" s="325">
        <v>20.5</v>
      </c>
      <c r="J196" s="310"/>
      <c r="K196" s="310"/>
      <c r="L196" s="310"/>
      <c r="M196" s="223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/>
      <c r="Z196" s="134"/>
      <c r="AA196" s="225"/>
      <c r="AB196" s="253">
        <f t="shared" si="4"/>
        <v>412.5</v>
      </c>
      <c r="AC196" s="254" t="str">
        <f>IF(COUNTIF(AD$78:AD196,AD196)=1,MAX(AC$78:AC195)+1,"")</f>
        <v/>
      </c>
      <c r="AD196" s="215">
        <f>'[2]Изложницы без бурта'!B196</f>
        <v>125</v>
      </c>
      <c r="AE196" s="215">
        <f>'[2]Изложницы без бурта'!C196</f>
        <v>260</v>
      </c>
      <c r="AF196" s="56">
        <f>'[2]Изложницы без бурта'!D196</f>
        <v>185</v>
      </c>
      <c r="AG196" s="56">
        <f>'[2]Изложницы без бурта'!E196</f>
        <v>320</v>
      </c>
      <c r="AH196" s="56" t="str">
        <f>'[2]Изложницы без бурта'!F196</f>
        <v>72.11868 - 11</v>
      </c>
      <c r="AI196" s="56">
        <f>'[2]Изложницы без бурта'!G196</f>
        <v>0</v>
      </c>
      <c r="AJ196" s="56">
        <f>'[2]Изложницы без бурта'!H196</f>
        <v>0</v>
      </c>
      <c r="AK196" s="56">
        <f>'[2]Изложницы без бурта'!I196</f>
        <v>0</v>
      </c>
      <c r="AL196" s="56" t="s">
        <v>581</v>
      </c>
      <c r="AM196" s="56">
        <f>'[2]Изложницы без бурта'!K196</f>
        <v>0</v>
      </c>
    </row>
    <row r="197" spans="1:39" ht="14.4" thickBot="1" x14ac:dyDescent="0.3">
      <c r="A197" s="327">
        <v>120</v>
      </c>
      <c r="B197" s="326">
        <v>7.5</v>
      </c>
      <c r="C197" s="325">
        <v>15</v>
      </c>
      <c r="D197" s="325">
        <v>16</v>
      </c>
      <c r="E197" s="325">
        <v>19.5</v>
      </c>
      <c r="F197" s="325">
        <v>20.5</v>
      </c>
      <c r="G197" s="325">
        <v>30</v>
      </c>
      <c r="H197" s="325">
        <v>30</v>
      </c>
      <c r="J197" s="310"/>
      <c r="K197" s="310"/>
      <c r="L197" s="310"/>
      <c r="M197" s="1285" t="s">
        <v>1176</v>
      </c>
      <c r="N197" s="1286">
        <f>Бандаж!P5</f>
        <v>210</v>
      </c>
      <c r="O197" s="1287" t="s">
        <v>311</v>
      </c>
      <c r="P197" s="1286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286" t="s">
        <v>253</v>
      </c>
      <c r="R197" s="1288">
        <f>ROUND(VLOOKUP(P197,A137:F154,6,FALSE),0)</f>
        <v>3</v>
      </c>
      <c r="S197" s="134"/>
      <c r="T197" s="134"/>
      <c r="U197" s="134"/>
      <c r="V197" s="134"/>
      <c r="W197" s="134"/>
      <c r="X197" s="134"/>
      <c r="Y197" s="134"/>
      <c r="Z197" s="134"/>
      <c r="AA197" s="225"/>
      <c r="AB197" s="253">
        <f t="shared" si="4"/>
        <v>415</v>
      </c>
      <c r="AC197" s="254" t="str">
        <f>IF(COUNTIF(AD$78:AD197,AD197)=1,MAX(AC$78:AC196)+1,"")</f>
        <v/>
      </c>
      <c r="AD197" s="215">
        <f>'[2]Изложницы без бурта'!B197</f>
        <v>125</v>
      </c>
      <c r="AE197" s="215">
        <f>'[2]Изложницы без бурта'!C197</f>
        <v>255</v>
      </c>
      <c r="AF197" s="56">
        <f>'[2]Изложницы без бурта'!D197</f>
        <v>185</v>
      </c>
      <c r="AG197" s="56">
        <f>'[2]Изложницы без бурта'!E197</f>
        <v>320</v>
      </c>
      <c r="AH197" s="56" t="str">
        <f>'[2]Изложницы без бурта'!F197</f>
        <v>72.11868 - 11</v>
      </c>
      <c r="AI197" s="56">
        <f>'[2]Изложницы без бурта'!G197</f>
        <v>0</v>
      </c>
      <c r="AJ197" s="56">
        <f>'[2]Изложницы без бурта'!H197</f>
        <v>0</v>
      </c>
      <c r="AK197" s="56">
        <f>'[2]Изложницы без бурта'!I197</f>
        <v>0</v>
      </c>
      <c r="AL197" s="56" t="s">
        <v>581</v>
      </c>
      <c r="AM197" s="56">
        <f>'[2]Изложницы без бурта'!K197</f>
        <v>0</v>
      </c>
    </row>
    <row r="198" spans="1:39" x14ac:dyDescent="0.25">
      <c r="A198" s="327">
        <v>150</v>
      </c>
      <c r="B198" s="326">
        <v>7.5</v>
      </c>
      <c r="C198" s="325">
        <v>15</v>
      </c>
      <c r="D198" s="325">
        <v>16</v>
      </c>
      <c r="E198" s="325">
        <v>19.5</v>
      </c>
      <c r="F198" s="325">
        <v>20.5</v>
      </c>
      <c r="G198" s="327">
        <v>32.5</v>
      </c>
      <c r="H198" s="325">
        <v>32.5</v>
      </c>
      <c r="J198" s="310"/>
      <c r="K198" s="310"/>
      <c r="L198" s="310"/>
      <c r="M198" s="1397" t="s">
        <v>1177</v>
      </c>
      <c r="N198" s="1398">
        <f>ROUND(Кольцо!J18/0.985,0)</f>
        <v>106</v>
      </c>
      <c r="O198" s="1399" t="s">
        <v>311</v>
      </c>
      <c r="P198" s="1398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398" t="s">
        <v>253</v>
      </c>
      <c r="R198" s="1400">
        <f>ROUND(VLOOKUP(P198,A137:F154,6,FALSE),0)</f>
        <v>3</v>
      </c>
      <c r="S198" s="134"/>
      <c r="T198" s="134"/>
      <c r="U198" s="134"/>
      <c r="V198" s="134"/>
      <c r="W198" s="134"/>
      <c r="X198" s="134"/>
      <c r="Y198" s="134"/>
      <c r="Z198" s="134"/>
      <c r="AA198" s="225"/>
      <c r="AB198" s="253">
        <f t="shared" si="4"/>
        <v>417.5</v>
      </c>
      <c r="AC198" s="254" t="str">
        <f>IF(COUNTIF(AD$78:AD198,AD198)=1,MAX(AC$78:AC197)+1,"")</f>
        <v/>
      </c>
      <c r="AD198" s="215">
        <f>'[2]Изложницы без бурта'!B198</f>
        <v>125</v>
      </c>
      <c r="AE198" s="215">
        <f>'[2]Изложницы без бурта'!C198</f>
        <v>260</v>
      </c>
      <c r="AF198" s="56">
        <f>'[2]Изложницы без бурта'!D198</f>
        <v>185</v>
      </c>
      <c r="AG198" s="56">
        <f>'[2]Изложницы без бурта'!E198</f>
        <v>320</v>
      </c>
      <c r="AH198" s="56" t="str">
        <f>'[2]Изложницы без бурта'!F198</f>
        <v>72.11868 - 11</v>
      </c>
      <c r="AI198" s="56">
        <f>'[2]Изложницы без бурта'!G198</f>
        <v>0</v>
      </c>
      <c r="AJ198" s="56">
        <f>'[2]Изложницы без бурта'!H198</f>
        <v>0</v>
      </c>
      <c r="AK198" s="56">
        <f>'[2]Изложницы без бурта'!I198</f>
        <v>0</v>
      </c>
      <c r="AL198" s="56" t="s">
        <v>581</v>
      </c>
      <c r="AM198" s="56">
        <f>'[2]Изложницы без бурта'!K198</f>
        <v>0</v>
      </c>
    </row>
    <row r="199" spans="1:39" x14ac:dyDescent="0.25">
      <c r="A199" s="325">
        <v>200</v>
      </c>
      <c r="B199" s="326">
        <v>7.5</v>
      </c>
      <c r="C199" s="325">
        <v>15</v>
      </c>
      <c r="D199" s="325">
        <v>16</v>
      </c>
      <c r="E199" s="325">
        <v>19.5</v>
      </c>
      <c r="F199" s="325">
        <v>20.5</v>
      </c>
      <c r="G199" s="325">
        <v>32.5</v>
      </c>
      <c r="H199" s="325">
        <v>32.5</v>
      </c>
      <c r="J199" s="310"/>
      <c r="K199" s="310"/>
      <c r="L199" s="310"/>
      <c r="M199" s="1401" t="s">
        <v>1199</v>
      </c>
      <c r="N199" s="1402">
        <f>Болваны!G26</f>
        <v>433.4</v>
      </c>
      <c r="O199" s="296" t="s">
        <v>311</v>
      </c>
      <c r="P199" s="1401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401" t="s">
        <v>253</v>
      </c>
      <c r="R199" s="1401">
        <f>VLOOKUP(P199,A137:F154,4,FALSE)</f>
        <v>3</v>
      </c>
      <c r="S199" s="134"/>
      <c r="T199" s="134"/>
      <c r="U199" s="134"/>
      <c r="V199" s="134"/>
      <c r="W199" s="134"/>
      <c r="X199" s="134"/>
      <c r="Y199" s="134"/>
      <c r="Z199" s="134"/>
      <c r="AA199" s="225"/>
      <c r="AB199" s="253">
        <f t="shared" si="4"/>
        <v>420</v>
      </c>
      <c r="AC199" s="254">
        <f>IF(COUNTIF(AD$78:AD199,AD199)=1,MAX(AC$78:AC198)+1,"")</f>
        <v>17</v>
      </c>
      <c r="AD199" s="215">
        <f>'[2]Изложницы без бурта'!B199</f>
        <v>127.5</v>
      </c>
      <c r="AE199" s="215">
        <f>'[2]Изложницы без бурта'!C199</f>
        <v>255</v>
      </c>
      <c r="AF199" s="56">
        <f>'[2]Изложницы без бурта'!D199</f>
        <v>185</v>
      </c>
      <c r="AG199" s="56">
        <f>'[2]Изложницы без бурта'!E199</f>
        <v>320</v>
      </c>
      <c r="AH199" s="56" t="str">
        <f>'[2]Изложницы без бурта'!F199</f>
        <v>72.11868 - 12</v>
      </c>
      <c r="AI199" s="56">
        <f>'[2]Изложницы без бурта'!G199</f>
        <v>0</v>
      </c>
      <c r="AJ199" s="56">
        <f>'[2]Изложницы без бурта'!H199</f>
        <v>0</v>
      </c>
      <c r="AK199" s="56">
        <f>'[2]Изложницы без бурта'!I199</f>
        <v>0</v>
      </c>
      <c r="AL199" s="56" t="s">
        <v>582</v>
      </c>
      <c r="AM199" s="56">
        <f>'[2]Изложницы без бурта'!K199</f>
        <v>0</v>
      </c>
    </row>
    <row r="200" spans="1:39" x14ac:dyDescent="0.25">
      <c r="M200" s="223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/>
      <c r="Z200" s="134"/>
      <c r="AA200" s="225"/>
      <c r="AB200" s="253">
        <f t="shared" si="4"/>
        <v>425</v>
      </c>
      <c r="AC200" s="254" t="str">
        <f>IF(COUNTIF(AD$78:AD200,AD200)=1,MAX(AC$78:AC199)+1,"")</f>
        <v/>
      </c>
      <c r="AD200" s="215">
        <f>'[2]Изложницы без бурта'!B200</f>
        <v>127.5</v>
      </c>
      <c r="AE200" s="215">
        <f>'[2]Изложницы без бурта'!C200</f>
        <v>315</v>
      </c>
      <c r="AF200" s="56">
        <f>'[2]Изложницы без бурта'!D200</f>
        <v>185</v>
      </c>
      <c r="AG200" s="56">
        <f>'[2]Изложницы без бурта'!E200</f>
        <v>320</v>
      </c>
      <c r="AH200" s="56" t="str">
        <f>'[2]Изложницы без бурта'!F200</f>
        <v>72.11869 - 12</v>
      </c>
      <c r="AI200" s="56">
        <f>'[2]Изложницы без бурта'!G200</f>
        <v>0</v>
      </c>
      <c r="AJ200" s="56">
        <f>'[2]Изложницы без бурта'!H200</f>
        <v>0</v>
      </c>
      <c r="AK200" s="56">
        <f>'[2]Изложницы без бурта'!I200</f>
        <v>0</v>
      </c>
      <c r="AL200" s="56" t="s">
        <v>582</v>
      </c>
      <c r="AM200" s="56">
        <f>'[2]Изложницы без бурта'!K200</f>
        <v>0</v>
      </c>
    </row>
    <row r="201" spans="1:39" ht="14.4" thickBot="1" x14ac:dyDescent="0.3">
      <c r="A201" s="329"/>
      <c r="B201" s="330"/>
      <c r="C201" s="329"/>
      <c r="M201" s="223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/>
      <c r="Z201" s="134"/>
      <c r="AA201" s="225"/>
      <c r="AB201" s="253">
        <f t="shared" si="4"/>
        <v>427.5</v>
      </c>
      <c r="AC201" s="254" t="str">
        <f>IF(COUNTIF(AD$78:AD201,AD201)=1,MAX(AC$78:AC200)+1,"")</f>
        <v/>
      </c>
      <c r="AD201" s="215">
        <f>'[2]Изложницы без бурта'!B201</f>
        <v>127.5</v>
      </c>
      <c r="AE201" s="215">
        <f>'[2]Изложницы без бурта'!C201</f>
        <v>255</v>
      </c>
      <c r="AF201" s="56">
        <f>'[2]Изложницы без бурта'!D201</f>
        <v>185</v>
      </c>
      <c r="AG201" s="56">
        <f>'[2]Изложницы без бурта'!E201</f>
        <v>320</v>
      </c>
      <c r="AH201" s="56" t="str">
        <f>'[2]Изложницы без бурта'!F201</f>
        <v>72.11868 - 12</v>
      </c>
      <c r="AI201" s="56">
        <f>'[2]Изложницы без бурта'!G201</f>
        <v>0</v>
      </c>
      <c r="AJ201" s="56">
        <f>'[2]Изложницы без бурта'!H201</f>
        <v>0</v>
      </c>
      <c r="AK201" s="56">
        <f>'[2]Изложницы без бурта'!I201</f>
        <v>0</v>
      </c>
      <c r="AL201" s="56" t="s">
        <v>582</v>
      </c>
      <c r="AM201" s="56">
        <f>'[2]Изложницы без бурта'!K201</f>
        <v>0</v>
      </c>
    </row>
    <row r="202" spans="1:39" ht="14.4" thickBot="1" x14ac:dyDescent="0.3">
      <c r="A202" s="1530"/>
      <c r="B202" s="1531"/>
      <c r="C202" s="924"/>
      <c r="D202" s="213"/>
      <c r="E202" s="213"/>
      <c r="F202" s="213"/>
      <c r="G202" s="213"/>
      <c r="H202" s="213"/>
      <c r="I202" s="213"/>
      <c r="J202" s="213"/>
      <c r="K202" s="214"/>
      <c r="M202" s="223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/>
      <c r="Z202" s="134"/>
      <c r="AA202" s="225"/>
      <c r="AB202" s="253">
        <f t="shared" si="3"/>
        <v>430</v>
      </c>
      <c r="AC202" s="254" t="str">
        <f>IF(COUNTIF(AD$78:AD202,AD202)=1,MAX(AC$78:AC201)+1,"")</f>
        <v/>
      </c>
      <c r="AD202" s="215">
        <f>'[2]Изложницы без бурта'!B202</f>
        <v>127.5</v>
      </c>
      <c r="AE202" s="215">
        <f>'[2]Изложницы без бурта'!C202</f>
        <v>315</v>
      </c>
      <c r="AF202" s="56">
        <f>'[2]Изложницы без бурта'!D202</f>
        <v>185</v>
      </c>
      <c r="AG202" s="56">
        <f>'[2]Изложницы без бурта'!E202</f>
        <v>320</v>
      </c>
      <c r="AH202" s="56" t="str">
        <f>'[2]Изложницы без бурта'!F202</f>
        <v>72.11868 - 12</v>
      </c>
      <c r="AI202" s="56">
        <f>'[2]Изложницы без бурта'!G202</f>
        <v>0</v>
      </c>
      <c r="AJ202" s="56">
        <f>'[2]Изложницы без бурта'!H202</f>
        <v>0</v>
      </c>
      <c r="AK202" s="56">
        <f>'[2]Изложницы без бурта'!I202</f>
        <v>0</v>
      </c>
      <c r="AL202" s="56" t="s">
        <v>582</v>
      </c>
      <c r="AM202" s="56">
        <f>'[2]Изложницы без бурта'!K202</f>
        <v>0</v>
      </c>
    </row>
    <row r="203" spans="1:39" ht="14.4" thickBot="1" x14ac:dyDescent="0.3">
      <c r="A203" s="1532" t="s">
        <v>961</v>
      </c>
      <c r="B203" s="917"/>
      <c r="C203" s="917"/>
      <c r="D203" s="1268" t="s">
        <v>391</v>
      </c>
      <c r="E203" s="1466">
        <f>IF(AND(Втулка!N8&gt;=7.5,Втулка!N8&lt;=8.5),2,1)</f>
        <v>2</v>
      </c>
      <c r="F203" s="1268" t="s">
        <v>966</v>
      </c>
      <c r="G203" s="134">
        <f>HLOOKUP(TRUE,A231:J233,2,FALSE)</f>
        <v>800</v>
      </c>
      <c r="H203" s="1268" t="s">
        <v>398</v>
      </c>
      <c r="I203" s="134">
        <f>HLOOKUP(TRUE,A234:J236,3,FALSE)</f>
        <v>4</v>
      </c>
      <c r="J203" s="979" t="s">
        <v>1033</v>
      </c>
      <c r="K203" s="976" t="b">
        <v>0</v>
      </c>
      <c r="M203" s="1291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/>
      <c r="Z203" s="134"/>
      <c r="AA203" s="225"/>
      <c r="AB203" s="253">
        <f t="shared" si="3"/>
        <v>432.5</v>
      </c>
      <c r="AC203" s="254">
        <f>IF(COUNTIF(AD$78:AD203,AD203)=1,MAX(AC$78:AC202)+1,"")</f>
        <v>18</v>
      </c>
      <c r="AD203" s="215">
        <f>'[2]Изложницы без бурта'!B203</f>
        <v>130</v>
      </c>
      <c r="AE203" s="215">
        <f>'[2]Изложницы без бурта'!C203</f>
        <v>255</v>
      </c>
      <c r="AF203" s="56">
        <f>'[2]Изложницы без бурта'!D203</f>
        <v>185</v>
      </c>
      <c r="AG203" s="56">
        <f>'[2]Изложницы без бурта'!E203</f>
        <v>320</v>
      </c>
      <c r="AH203" s="56" t="str">
        <f>'[2]Изложницы без бурта'!F203</f>
        <v>72.11868 - 13</v>
      </c>
      <c r="AI203" s="56">
        <f>'[2]Изложницы без бурта'!G203</f>
        <v>0</v>
      </c>
      <c r="AJ203" s="56">
        <f>'[2]Изложницы без бурта'!H203</f>
        <v>0</v>
      </c>
      <c r="AK203" s="56">
        <f>'[2]Изложницы без бурта'!I203</f>
        <v>0</v>
      </c>
      <c r="AL203" s="56" t="s">
        <v>583</v>
      </c>
      <c r="AM203" s="56">
        <f>'[2]Изложницы без бурта'!K203</f>
        <v>0</v>
      </c>
    </row>
    <row r="204" spans="1:39" ht="15.6" customHeight="1" thickBot="1" x14ac:dyDescent="0.3">
      <c r="A204" s="223" t="s">
        <v>964</v>
      </c>
      <c r="B204" s="134">
        <f>Втулка!N15</f>
        <v>700</v>
      </c>
      <c r="C204" s="1268" t="s">
        <v>967</v>
      </c>
      <c r="D204" s="134" t="str">
        <f>(IF(AND(Втулка!N8&gt;=7.5,Втулка!N8&lt;=8.5),VLOOKUP(G203,A220:K229,I203,0),VLOOKUP(G203,A208:K217,I203,0)))</f>
        <v>9 10 10</v>
      </c>
      <c r="E204" s="919" t="s">
        <v>968</v>
      </c>
      <c r="F204" s="920" t="s">
        <v>969</v>
      </c>
      <c r="G204" s="921" t="s">
        <v>970</v>
      </c>
      <c r="H204" s="134"/>
      <c r="I204" s="134"/>
      <c r="J204" s="134"/>
      <c r="K204" s="225"/>
      <c r="M204" s="223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/>
      <c r="Z204" s="134"/>
      <c r="AA204" s="225"/>
      <c r="AB204" s="253">
        <f t="shared" si="3"/>
        <v>440</v>
      </c>
      <c r="AC204" s="254" t="str">
        <f>IF(COUNTIF(AD$78:AD204,AD204)=1,MAX(AC$78:AC203)+1,"")</f>
        <v/>
      </c>
      <c r="AD204" s="215">
        <f>'[2]Изложницы без бурта'!B204</f>
        <v>130</v>
      </c>
      <c r="AE204" s="215">
        <f>'[2]Изложницы без бурта'!C204</f>
        <v>255</v>
      </c>
      <c r="AF204" s="56">
        <f>'[2]Изложницы без бурта'!D204</f>
        <v>185</v>
      </c>
      <c r="AG204" s="56">
        <f>'[2]Изложницы без бурта'!E204</f>
        <v>320</v>
      </c>
      <c r="AH204" s="56" t="str">
        <f>'[2]Изложницы без бурта'!F204</f>
        <v>72.11868 - 13</v>
      </c>
      <c r="AI204" s="56">
        <f>'[2]Изложницы без бурта'!G204</f>
        <v>0</v>
      </c>
      <c r="AJ204" s="56">
        <f>'[2]Изложницы без бурта'!H204</f>
        <v>0</v>
      </c>
      <c r="AK204" s="56">
        <f>'[2]Изложницы без бурта'!I204</f>
        <v>0</v>
      </c>
      <c r="AL204" s="56" t="s">
        <v>583</v>
      </c>
      <c r="AM204" s="56">
        <f>'[2]Изложницы без бурта'!K204</f>
        <v>0</v>
      </c>
    </row>
    <row r="205" spans="1:39" ht="15.6" customHeight="1" thickBot="1" x14ac:dyDescent="0.3">
      <c r="A205" s="223" t="s">
        <v>965</v>
      </c>
      <c r="B205" s="134">
        <f>IF(K203=TRUE,500,Втулка!N17)</f>
        <v>150</v>
      </c>
      <c r="C205" s="134"/>
      <c r="D205" s="134"/>
      <c r="E205" s="918" t="str">
        <f>LEFT(D204,SEARCH(" ",D204,1))</f>
        <v xml:space="preserve">9 </v>
      </c>
      <c r="F205" s="922" t="str">
        <f>LEFT(F206,SEARCH(" ",F206,2))</f>
        <v xml:space="preserve">10 </v>
      </c>
      <c r="G205" s="918" t="str">
        <f>RIGHT(F206,SEARCH(" ",D204,1))</f>
        <v>10</v>
      </c>
      <c r="H205" s="134"/>
      <c r="I205" s="134"/>
      <c r="J205" s="234"/>
      <c r="K205" s="225"/>
      <c r="M205" s="223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/>
      <c r="Z205" s="134"/>
      <c r="AA205" s="225"/>
      <c r="AB205" s="253">
        <f t="shared" si="3"/>
        <v>442.5</v>
      </c>
      <c r="AC205" s="254" t="str">
        <f>IF(COUNTIF(AD$78:AD205,AD205)=1,MAX(AC$78:AC204)+1,"")</f>
        <v/>
      </c>
      <c r="AD205" s="215">
        <f>'[2]Изложницы без бурта'!B205</f>
        <v>130</v>
      </c>
      <c r="AE205" s="215">
        <f>'[2]Изложницы без бурта'!C205</f>
        <v>375</v>
      </c>
      <c r="AF205" s="56">
        <f>'[2]Изложницы без бурта'!D205</f>
        <v>185</v>
      </c>
      <c r="AG205" s="56">
        <f>'[2]Изложницы без бурта'!E205</f>
        <v>320</v>
      </c>
      <c r="AH205" s="56" t="str">
        <f>'[2]Изложницы без бурта'!F205</f>
        <v>72.43773 - 13</v>
      </c>
      <c r="AI205" s="56">
        <f>'[2]Изложницы без бурта'!G205</f>
        <v>0</v>
      </c>
      <c r="AJ205" s="56">
        <f>'[2]Изложницы без бурта'!H205</f>
        <v>0</v>
      </c>
      <c r="AK205" s="56">
        <f>'[2]Изложницы без бурта'!I205</f>
        <v>0</v>
      </c>
      <c r="AL205" s="56" t="s">
        <v>583</v>
      </c>
      <c r="AM205" s="56">
        <f>'[2]Изложницы без бурта'!K205</f>
        <v>0</v>
      </c>
    </row>
    <row r="206" spans="1:39" ht="14.4" thickBot="1" x14ac:dyDescent="0.3">
      <c r="A206" s="1533" t="s">
        <v>962</v>
      </c>
      <c r="B206" s="1534"/>
      <c r="C206" s="1534"/>
      <c r="D206" s="307"/>
      <c r="E206" s="307"/>
      <c r="F206" s="918" t="str">
        <f>RIGHT(D204,LEN(D204)-SEARCH("",D204,2))</f>
        <v>10 10</v>
      </c>
      <c r="G206" s="307"/>
      <c r="H206" s="307"/>
      <c r="I206" s="307"/>
      <c r="J206" s="307"/>
      <c r="K206" s="308"/>
      <c r="M206" s="223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/>
      <c r="Z206" s="134"/>
      <c r="AA206" s="225"/>
      <c r="AB206" s="253">
        <f t="shared" si="3"/>
        <v>445</v>
      </c>
      <c r="AC206" s="254" t="str">
        <f>IF(COUNTIF(AD$78:AD206,AD206)=1,MAX(AC$78:AC205)+1,"")</f>
        <v/>
      </c>
      <c r="AD206" s="215">
        <f>'[2]Изложницы без бурта'!B206</f>
        <v>130</v>
      </c>
      <c r="AE206" s="215">
        <f>'[2]Изложницы без бурта'!C206</f>
        <v>318</v>
      </c>
      <c r="AF206" s="56">
        <f>'[2]Изложницы без бурта'!D206</f>
        <v>185</v>
      </c>
      <c r="AG206" s="56">
        <f>'[2]Изложницы без бурта'!E206</f>
        <v>320</v>
      </c>
      <c r="AH206" s="56" t="str">
        <f>'[2]Изложницы без бурта'!F206</f>
        <v>72.11869 - 13</v>
      </c>
      <c r="AI206" s="56">
        <f>'[2]Изложницы без бурта'!G206</f>
        <v>0</v>
      </c>
      <c r="AJ206" s="56">
        <f>'[2]Изложницы без бурта'!H206</f>
        <v>0</v>
      </c>
      <c r="AK206" s="56">
        <f>'[2]Изложницы без бурта'!I206</f>
        <v>0</v>
      </c>
      <c r="AL206" s="56" t="s">
        <v>583</v>
      </c>
      <c r="AM206" s="56">
        <f>'[2]Изложницы без бурта'!K206</f>
        <v>0</v>
      </c>
    </row>
    <row r="207" spans="1:39" x14ac:dyDescent="0.25">
      <c r="A207" s="212"/>
      <c r="B207" s="924">
        <v>50</v>
      </c>
      <c r="C207" s="924">
        <v>100</v>
      </c>
      <c r="D207" s="213">
        <v>200</v>
      </c>
      <c r="E207" s="213">
        <v>300</v>
      </c>
      <c r="F207" s="213">
        <v>400</v>
      </c>
      <c r="G207" s="213">
        <v>600</v>
      </c>
      <c r="H207" s="213">
        <v>800</v>
      </c>
      <c r="I207" s="213">
        <v>1200</v>
      </c>
      <c r="J207" s="213">
        <v>1500</v>
      </c>
      <c r="K207" s="214">
        <v>2000</v>
      </c>
      <c r="M207" s="223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/>
      <c r="Z207" s="134"/>
      <c r="AA207" s="225"/>
      <c r="AB207" s="253">
        <f t="shared" si="3"/>
        <v>447.5</v>
      </c>
      <c r="AC207" s="254" t="str">
        <f>IF(COUNTIF(AD$78:AD207,AD207)=1,MAX(AC$78:AC206)+1,"")</f>
        <v/>
      </c>
      <c r="AD207" s="215">
        <f>'[2]Изложницы без бурта'!B207</f>
        <v>130</v>
      </c>
      <c r="AE207" s="215">
        <f>'[2]Изложницы без бурта'!C207</f>
        <v>320</v>
      </c>
      <c r="AF207" s="56">
        <f>'[2]Изложницы без бурта'!D207</f>
        <v>185</v>
      </c>
      <c r="AG207" s="56">
        <f>'[2]Изложницы без бурта'!E207</f>
        <v>320</v>
      </c>
      <c r="AH207" s="56" t="str">
        <f>'[2]Изложницы без бурта'!F207</f>
        <v>72.11869 - 13</v>
      </c>
      <c r="AI207" s="56">
        <f>'[2]Изложницы без бурта'!G207</f>
        <v>0</v>
      </c>
      <c r="AJ207" s="56">
        <f>'[2]Изложницы без бурта'!H207</f>
        <v>0</v>
      </c>
      <c r="AK207" s="56">
        <f>'[2]Изложницы без бурта'!I207</f>
        <v>0</v>
      </c>
      <c r="AL207" s="56" t="s">
        <v>583</v>
      </c>
      <c r="AM207" s="56">
        <f>'[2]Изложницы без бурта'!K207</f>
        <v>0</v>
      </c>
    </row>
    <row r="208" spans="1:39" x14ac:dyDescent="0.25">
      <c r="A208" s="925">
        <v>100</v>
      </c>
      <c r="B208" s="331" t="s">
        <v>972</v>
      </c>
      <c r="C208" s="331" t="s">
        <v>972</v>
      </c>
      <c r="D208" s="134" t="s">
        <v>1241</v>
      </c>
      <c r="E208" s="134" t="s">
        <v>982</v>
      </c>
      <c r="F208" s="134"/>
      <c r="G208" s="134"/>
      <c r="H208" s="134"/>
      <c r="I208" s="134"/>
      <c r="J208" s="134"/>
      <c r="K208" s="225"/>
      <c r="M208" s="223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/>
      <c r="Z208" s="134"/>
      <c r="AA208" s="225"/>
      <c r="AB208" s="253">
        <f t="shared" si="3"/>
        <v>457.5</v>
      </c>
      <c r="AC208" s="254" t="str">
        <f>IF(COUNTIF(AD$78:AD208,AD208)=1,MAX(AC$78:AC207)+1,"")</f>
        <v/>
      </c>
      <c r="AD208" s="215">
        <f>'[2]Изложницы без бурта'!B208</f>
        <v>130</v>
      </c>
      <c r="AE208" s="215">
        <f>'[2]Изложницы без бурта'!C208</f>
        <v>320</v>
      </c>
      <c r="AF208" s="56">
        <f>'[2]Изложницы без бурта'!D208</f>
        <v>185</v>
      </c>
      <c r="AG208" s="56">
        <f>'[2]Изложницы без бурта'!E208</f>
        <v>320</v>
      </c>
      <c r="AH208" s="56" t="str">
        <f>'[2]Изложницы без бурта'!F208</f>
        <v>72.11869 - 13</v>
      </c>
      <c r="AI208" s="56">
        <f>'[2]Изложницы без бурта'!G208</f>
        <v>0</v>
      </c>
      <c r="AJ208" s="56">
        <f>'[2]Изложницы без бурта'!H208</f>
        <v>0</v>
      </c>
      <c r="AK208" s="56">
        <f>'[2]Изложницы без бурта'!I208</f>
        <v>0</v>
      </c>
      <c r="AL208" s="56" t="s">
        <v>583</v>
      </c>
      <c r="AM208" s="56">
        <f>'[2]Изложницы без бурта'!K208</f>
        <v>0</v>
      </c>
    </row>
    <row r="209" spans="1:39" x14ac:dyDescent="0.25">
      <c r="A209" s="925">
        <v>200</v>
      </c>
      <c r="B209" s="331" t="s">
        <v>976</v>
      </c>
      <c r="C209" s="331" t="s">
        <v>976</v>
      </c>
      <c r="D209" s="134" t="s">
        <v>977</v>
      </c>
      <c r="E209" s="134" t="s">
        <v>1279</v>
      </c>
      <c r="F209" s="134"/>
      <c r="G209" s="134"/>
      <c r="H209" s="134"/>
      <c r="I209" s="134"/>
      <c r="J209" s="134"/>
      <c r="K209" s="225"/>
      <c r="M209" s="223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/>
      <c r="Z209" s="134"/>
      <c r="AA209" s="225"/>
      <c r="AB209" s="253">
        <f t="shared" ref="AB209:AB217" si="7">IF(MAX(AC209:AC1286)&lt;ROW(131:131),"",VLOOKUP(ROW(131:131),AC209:AD1286,2))</f>
        <v>460</v>
      </c>
      <c r="AC209" s="254" t="str">
        <f>IF(COUNTIF(AD$78:AD209,AD209)=1,MAX(AC$78:AC208)+1,"")</f>
        <v/>
      </c>
      <c r="AD209" s="215">
        <f>'[2]Изложницы без бурта'!B209</f>
        <v>130</v>
      </c>
      <c r="AE209" s="215">
        <f>'[2]Изложницы без бурта'!C209</f>
        <v>318</v>
      </c>
      <c r="AF209" s="56">
        <f>'[2]Изложницы без бурта'!D209</f>
        <v>185</v>
      </c>
      <c r="AG209" s="56">
        <f>'[2]Изложницы без бурта'!E209</f>
        <v>320</v>
      </c>
      <c r="AH209" s="56" t="str">
        <f>'[2]Изложницы без бурта'!F209</f>
        <v>72.11869 - 13</v>
      </c>
      <c r="AI209" s="56">
        <f>'[2]Изложницы без бурта'!G209</f>
        <v>0</v>
      </c>
      <c r="AJ209" s="56">
        <f>'[2]Изложницы без бурта'!H209</f>
        <v>0</v>
      </c>
      <c r="AK209" s="56">
        <f>'[2]Изложницы без бурта'!I209</f>
        <v>0</v>
      </c>
      <c r="AL209" s="56" t="s">
        <v>583</v>
      </c>
      <c r="AM209" s="56">
        <f>'[2]Изложницы без бурта'!K209</f>
        <v>0</v>
      </c>
    </row>
    <row r="210" spans="1:39" x14ac:dyDescent="0.25">
      <c r="A210" s="925">
        <v>300</v>
      </c>
      <c r="B210" s="331" t="s">
        <v>976</v>
      </c>
      <c r="C210" s="331" t="s">
        <v>978</v>
      </c>
      <c r="D210" s="134" t="s">
        <v>977</v>
      </c>
      <c r="E210" s="134" t="s">
        <v>979</v>
      </c>
      <c r="F210" s="134" t="s">
        <v>1242</v>
      </c>
      <c r="G210" s="134" t="s">
        <v>1280</v>
      </c>
      <c r="H210" s="134"/>
      <c r="I210" s="134"/>
      <c r="J210" s="134"/>
      <c r="K210" s="225"/>
      <c r="M210" s="223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  <c r="AA210" s="225"/>
      <c r="AB210" s="253">
        <f t="shared" si="7"/>
        <v>475</v>
      </c>
      <c r="AC210" s="254" t="str">
        <f>IF(COUNTIF(AD$78:AD210,AD210)=1,MAX(AC$78:AC209)+1,"")</f>
        <v/>
      </c>
      <c r="AD210" s="215">
        <f>'[2]Изложницы без бурта'!B210</f>
        <v>130</v>
      </c>
      <c r="AE210" s="215">
        <f>'[2]Изложницы без бурта'!C210</f>
        <v>258</v>
      </c>
      <c r="AF210" s="56">
        <f>'[2]Изложницы без бурта'!D210</f>
        <v>185</v>
      </c>
      <c r="AG210" s="56">
        <f>'[2]Изложницы без бурта'!E210</f>
        <v>320</v>
      </c>
      <c r="AH210" s="56" t="str">
        <f>'[2]Изложницы без бурта'!F210</f>
        <v>72.11868 - 13</v>
      </c>
      <c r="AI210" s="56">
        <f>'[2]Изложницы без бурта'!G210</f>
        <v>0</v>
      </c>
      <c r="AJ210" s="56">
        <f>'[2]Изложницы без бурта'!H210</f>
        <v>0</v>
      </c>
      <c r="AK210" s="56">
        <f>'[2]Изложницы без бурта'!I210</f>
        <v>0</v>
      </c>
      <c r="AL210" s="56" t="s">
        <v>583</v>
      </c>
      <c r="AM210" s="56">
        <f>'[2]Изложницы без бурта'!K210</f>
        <v>0</v>
      </c>
    </row>
    <row r="211" spans="1:39" x14ac:dyDescent="0.25">
      <c r="A211" s="925">
        <v>400</v>
      </c>
      <c r="B211" s="331" t="s">
        <v>977</v>
      </c>
      <c r="C211" s="331" t="s">
        <v>977</v>
      </c>
      <c r="D211" s="134" t="s">
        <v>980</v>
      </c>
      <c r="E211" s="134" t="s">
        <v>979</v>
      </c>
      <c r="F211" s="134" t="s">
        <v>983</v>
      </c>
      <c r="G211" s="134" t="s">
        <v>971</v>
      </c>
      <c r="H211" s="134" t="s">
        <v>986</v>
      </c>
      <c r="I211" s="134"/>
      <c r="J211" s="134"/>
      <c r="K211" s="225"/>
      <c r="M211" s="223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/>
      <c r="Z211" s="134"/>
      <c r="AA211" s="225"/>
      <c r="AB211" s="253">
        <f t="shared" si="7"/>
        <v>480</v>
      </c>
      <c r="AC211" s="254" t="str">
        <f>IF(COUNTIF(AD$78:AD211,AD211)=1,MAX(AC$78:AC210)+1,"")</f>
        <v/>
      </c>
      <c r="AD211" s="215">
        <f>'[2]Изложницы без бурта'!B211</f>
        <v>130</v>
      </c>
      <c r="AE211" s="215">
        <f>'[2]Изложницы без бурта'!C211</f>
        <v>315</v>
      </c>
      <c r="AF211" s="56">
        <f>'[2]Изложницы без бурта'!D211</f>
        <v>185</v>
      </c>
      <c r="AG211" s="56">
        <f>'[2]Изложницы без бурта'!E211</f>
        <v>320</v>
      </c>
      <c r="AH211" s="56" t="str">
        <f>'[2]Изложницы без бурта'!F211</f>
        <v>72.11869 - 13</v>
      </c>
      <c r="AI211" s="56">
        <f>'[2]Изложницы без бурта'!G211</f>
        <v>0</v>
      </c>
      <c r="AJ211" s="56">
        <f>'[2]Изложницы без бурта'!H211</f>
        <v>0</v>
      </c>
      <c r="AK211" s="56">
        <f>'[2]Изложницы без бурта'!I211</f>
        <v>0</v>
      </c>
      <c r="AL211" s="56" t="s">
        <v>583</v>
      </c>
      <c r="AM211" s="56">
        <f>'[2]Изложницы без бурта'!K211</f>
        <v>0</v>
      </c>
    </row>
    <row r="212" spans="1:39" x14ac:dyDescent="0.25">
      <c r="A212" s="925">
        <v>600</v>
      </c>
      <c r="B212" s="331" t="s">
        <v>980</v>
      </c>
      <c r="C212" s="331" t="s">
        <v>982</v>
      </c>
      <c r="D212" s="134" t="s">
        <v>983</v>
      </c>
      <c r="E212" s="134" t="s">
        <v>983</v>
      </c>
      <c r="F212" s="134" t="s">
        <v>985</v>
      </c>
      <c r="G212" s="134" t="s">
        <v>971</v>
      </c>
      <c r="H212" s="134" t="s">
        <v>1281</v>
      </c>
      <c r="I212" s="134" t="s">
        <v>975</v>
      </c>
      <c r="J212" s="134"/>
      <c r="K212" s="225"/>
      <c r="M212" s="223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/>
      <c r="Z212" s="134"/>
      <c r="AA212" s="225"/>
      <c r="AB212" s="253">
        <f t="shared" si="7"/>
        <v>482.5</v>
      </c>
      <c r="AC212" s="254" t="str">
        <f>IF(COUNTIF(AD$78:AD212,AD212)=1,MAX(AC$78:AC211)+1,"")</f>
        <v/>
      </c>
      <c r="AD212" s="215">
        <f>'[2]Изложницы без бурта'!B212</f>
        <v>130</v>
      </c>
      <c r="AE212" s="215">
        <f>'[2]Изложницы без бурта'!C212</f>
        <v>257</v>
      </c>
      <c r="AF212" s="56">
        <f>'[2]Изложницы без бурта'!D212</f>
        <v>185</v>
      </c>
      <c r="AG212" s="56">
        <f>'[2]Изложницы без бурта'!E212</f>
        <v>320</v>
      </c>
      <c r="AH212" s="56" t="str">
        <f>'[2]Изложницы без бурта'!F212</f>
        <v>72.11868 - 13</v>
      </c>
      <c r="AI212" s="56">
        <f>'[2]Изложницы без бурта'!G212</f>
        <v>0</v>
      </c>
      <c r="AJ212" s="56">
        <f>'[2]Изложницы без бурта'!H212</f>
        <v>0</v>
      </c>
      <c r="AK212" s="56">
        <f>'[2]Изложницы без бурта'!I212</f>
        <v>0</v>
      </c>
      <c r="AL212" s="56" t="s">
        <v>583</v>
      </c>
      <c r="AM212" s="56">
        <f>'[2]Изложницы без бурта'!K212</f>
        <v>0</v>
      </c>
    </row>
    <row r="213" spans="1:39" x14ac:dyDescent="0.25">
      <c r="A213" s="925">
        <v>800</v>
      </c>
      <c r="B213" s="331" t="s">
        <v>980</v>
      </c>
      <c r="C213" s="331" t="s">
        <v>982</v>
      </c>
      <c r="D213" s="134" t="s">
        <v>983</v>
      </c>
      <c r="E213" s="134" t="s">
        <v>985</v>
      </c>
      <c r="F213" s="134" t="s">
        <v>971</v>
      </c>
      <c r="G213" s="134" t="s">
        <v>990</v>
      </c>
      <c r="H213" s="134" t="s">
        <v>1282</v>
      </c>
      <c r="I213" s="134" t="s">
        <v>975</v>
      </c>
      <c r="J213" s="970" t="s">
        <v>989</v>
      </c>
      <c r="K213" s="225"/>
      <c r="M213" s="223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/>
      <c r="Z213" s="134"/>
      <c r="AA213" s="225"/>
      <c r="AB213" s="253">
        <f t="shared" si="7"/>
        <v>495</v>
      </c>
      <c r="AC213" s="254" t="str">
        <f>IF(COUNTIF(AD$78:AD213,AD213)=1,MAX(AC$78:AC212)+1,"")</f>
        <v/>
      </c>
      <c r="AD213" s="215">
        <f>'[2]Изложницы без бурта'!B213</f>
        <v>130</v>
      </c>
      <c r="AE213" s="215">
        <f>'[2]Изложницы без бурта'!C213</f>
        <v>255</v>
      </c>
      <c r="AF213" s="56">
        <f>'[2]Изложницы без бурта'!D213</f>
        <v>185</v>
      </c>
      <c r="AG213" s="56">
        <f>'[2]Изложницы без бурта'!E213</f>
        <v>320</v>
      </c>
      <c r="AH213" s="56" t="str">
        <f>'[2]Изложницы без бурта'!F213</f>
        <v>72.11868 - 13</v>
      </c>
      <c r="AI213" s="56">
        <f>'[2]Изложницы без бурта'!G213</f>
        <v>0</v>
      </c>
      <c r="AJ213" s="56">
        <f>'[2]Изложницы без бурта'!H213</f>
        <v>0</v>
      </c>
      <c r="AK213" s="56">
        <f>'[2]Изложницы без бурта'!I213</f>
        <v>0</v>
      </c>
      <c r="AL213" s="56" t="s">
        <v>583</v>
      </c>
      <c r="AM213" s="56">
        <f>'[2]Изложницы без бурта'!K213</f>
        <v>0</v>
      </c>
    </row>
    <row r="214" spans="1:39" x14ac:dyDescent="0.25">
      <c r="A214" s="925">
        <v>1000</v>
      </c>
      <c r="B214" s="331" t="s">
        <v>981</v>
      </c>
      <c r="C214" s="331" t="s">
        <v>971</v>
      </c>
      <c r="D214" s="134" t="s">
        <v>984</v>
      </c>
      <c r="E214" s="134" t="s">
        <v>986</v>
      </c>
      <c r="F214" s="134" t="s">
        <v>986</v>
      </c>
      <c r="G214" s="134" t="s">
        <v>973</v>
      </c>
      <c r="H214" s="134" t="s">
        <v>973</v>
      </c>
      <c r="I214" s="134" t="s">
        <v>975</v>
      </c>
      <c r="J214" s="970" t="s">
        <v>989</v>
      </c>
      <c r="K214" s="225"/>
      <c r="M214" s="223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/>
      <c r="Z214" s="134"/>
      <c r="AA214" s="225"/>
      <c r="AB214" s="253">
        <f t="shared" si="7"/>
        <v>500</v>
      </c>
      <c r="AC214" s="254" t="str">
        <f>IF(COUNTIF(AD$78:AD214,AD214)=1,MAX(AC$78:AC213)+1,"")</f>
        <v/>
      </c>
      <c r="AD214" s="215">
        <f>'[2]Изложницы без бурта'!B214</f>
        <v>130</v>
      </c>
      <c r="AE214" s="215">
        <f>'[2]Изложницы без бурта'!C214</f>
        <v>320</v>
      </c>
      <c r="AF214" s="56">
        <f>'[2]Изложницы без бурта'!D214</f>
        <v>185</v>
      </c>
      <c r="AG214" s="56">
        <f>'[2]Изложницы без бурта'!E214</f>
        <v>320</v>
      </c>
      <c r="AH214" s="56" t="str">
        <f>'[2]Изложницы без бурта'!F214</f>
        <v>72.11869 - 13</v>
      </c>
      <c r="AI214" s="56">
        <f>'[2]Изложницы без бурта'!G214</f>
        <v>0</v>
      </c>
      <c r="AJ214" s="56">
        <f>'[2]Изложницы без бурта'!H214</f>
        <v>0</v>
      </c>
      <c r="AK214" s="56">
        <f>'[2]Изложницы без бурта'!I214</f>
        <v>0</v>
      </c>
      <c r="AL214" s="56" t="s">
        <v>583</v>
      </c>
      <c r="AM214" s="56">
        <f>'[2]Изложницы без бурта'!K214</f>
        <v>0</v>
      </c>
    </row>
    <row r="215" spans="1:39" x14ac:dyDescent="0.25">
      <c r="A215" s="925">
        <v>1500</v>
      </c>
      <c r="B215" s="331" t="s">
        <v>973</v>
      </c>
      <c r="C215" s="331" t="s">
        <v>973</v>
      </c>
      <c r="D215" s="134" t="s">
        <v>975</v>
      </c>
      <c r="E215" s="134" t="s">
        <v>987</v>
      </c>
      <c r="F215" s="134" t="s">
        <v>987</v>
      </c>
      <c r="G215" s="134" t="s">
        <v>988</v>
      </c>
      <c r="H215" s="134" t="s">
        <v>988</v>
      </c>
      <c r="I215" s="134" t="s">
        <v>989</v>
      </c>
      <c r="J215" s="134" t="s">
        <v>1030</v>
      </c>
      <c r="K215" s="225" t="s">
        <v>1025</v>
      </c>
      <c r="M215" s="223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/>
      <c r="Z215" s="134"/>
      <c r="AA215" s="225"/>
      <c r="AB215" s="253">
        <f t="shared" si="7"/>
        <v>502.5</v>
      </c>
      <c r="AC215" s="254">
        <f>IF(COUNTIF(AD$78:AD215,AD215)=1,MAX(AC$78:AC214)+1,"")</f>
        <v>19</v>
      </c>
      <c r="AD215" s="215">
        <f>'[2]Изложницы без бурта'!B215</f>
        <v>132.5</v>
      </c>
      <c r="AE215" s="215">
        <f>'[2]Изложницы без бурта'!C215</f>
        <v>375</v>
      </c>
      <c r="AF215" s="56">
        <f>'[2]Изложницы без бурта'!D215</f>
        <v>185</v>
      </c>
      <c r="AG215" s="56">
        <f>'[2]Изложницы без бурта'!E215</f>
        <v>320</v>
      </c>
      <c r="AH215" s="56" t="str">
        <f>'[2]Изложницы без бурта'!F215</f>
        <v>72.43773 - 14</v>
      </c>
      <c r="AI215" s="56">
        <f>'[2]Изложницы без бурта'!G215</f>
        <v>7260002</v>
      </c>
      <c r="AJ215" s="56">
        <f>'[2]Изложницы без бурта'!H215</f>
        <v>0</v>
      </c>
      <c r="AK215" s="56">
        <f>'[2]Изложницы без бурта'!I215</f>
        <v>0</v>
      </c>
      <c r="AL215" s="56" t="s">
        <v>584</v>
      </c>
      <c r="AM215" s="56">
        <f>'[2]Изложницы без бурта'!K215</f>
        <v>0</v>
      </c>
    </row>
    <row r="216" spans="1:39" x14ac:dyDescent="0.25">
      <c r="A216" s="925">
        <v>2000</v>
      </c>
      <c r="B216" s="331" t="s">
        <v>973</v>
      </c>
      <c r="C216" s="331" t="s">
        <v>973</v>
      </c>
      <c r="D216" s="134" t="s">
        <v>975</v>
      </c>
      <c r="E216" s="134" t="s">
        <v>988</v>
      </c>
      <c r="F216" s="134" t="s">
        <v>989</v>
      </c>
      <c r="G216" s="134" t="s">
        <v>974</v>
      </c>
      <c r="H216" s="134" t="s">
        <v>974</v>
      </c>
      <c r="I216" s="134" t="s">
        <v>991</v>
      </c>
      <c r="J216" s="134" t="s">
        <v>1031</v>
      </c>
      <c r="K216" s="225" t="s">
        <v>1025</v>
      </c>
      <c r="M216" s="223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34"/>
      <c r="AA216" s="225"/>
      <c r="AB216" s="253">
        <f t="shared" si="7"/>
        <v>505</v>
      </c>
      <c r="AC216" s="254" t="str">
        <f>IF(COUNTIF(AD$78:AD216,AD216)=1,MAX(AC$78:AC215)+1,"")</f>
        <v/>
      </c>
      <c r="AD216" s="215">
        <f>'[2]Изложницы без бурта'!B216</f>
        <v>132.5</v>
      </c>
      <c r="AE216" s="215">
        <f>'[2]Изложницы без бурта'!C216</f>
        <v>320</v>
      </c>
      <c r="AF216" s="56">
        <f>'[2]Изложницы без бурта'!D216</f>
        <v>185</v>
      </c>
      <c r="AG216" s="56">
        <f>'[2]Изложницы без бурта'!E216</f>
        <v>320</v>
      </c>
      <c r="AH216" s="56" t="str">
        <f>'[2]Изложницы без бурта'!F216</f>
        <v>72.11869 - 14</v>
      </c>
      <c r="AI216" s="56">
        <f>'[2]Изложницы без бурта'!G216</f>
        <v>7260003</v>
      </c>
      <c r="AJ216" s="56">
        <f>'[2]Изложницы без бурта'!H216</f>
        <v>0</v>
      </c>
      <c r="AK216" s="56">
        <f>'[2]Изложницы без бурта'!I216</f>
        <v>0</v>
      </c>
      <c r="AL216" s="56" t="s">
        <v>584</v>
      </c>
      <c r="AM216" s="56">
        <f>'[2]Изложницы без бурта'!K216</f>
        <v>0</v>
      </c>
    </row>
    <row r="217" spans="1:39" ht="14.4" thickBot="1" x14ac:dyDescent="0.3">
      <c r="A217" s="926">
        <v>2500</v>
      </c>
      <c r="B217" s="307" t="s">
        <v>989</v>
      </c>
      <c r="C217" s="307" t="s">
        <v>974</v>
      </c>
      <c r="D217" s="307" t="s">
        <v>974</v>
      </c>
      <c r="E217" s="307" t="s">
        <v>991</v>
      </c>
      <c r="F217" s="307" t="s">
        <v>999</v>
      </c>
      <c r="G217" s="307" t="s">
        <v>1024</v>
      </c>
      <c r="H217" s="307" t="s">
        <v>1024</v>
      </c>
      <c r="I217" s="307" t="s">
        <v>1024</v>
      </c>
      <c r="J217" s="307" t="s">
        <v>1025</v>
      </c>
      <c r="K217" s="308" t="s">
        <v>1025</v>
      </c>
      <c r="M217" s="223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34"/>
      <c r="AA217" s="225"/>
      <c r="AB217" s="253">
        <f t="shared" si="7"/>
        <v>507.5</v>
      </c>
      <c r="AC217" s="254" t="str">
        <f>IF(COUNTIF(AD$78:AD217,AD217)=1,MAX(AC$78:AC216)+1,"")</f>
        <v/>
      </c>
      <c r="AD217" s="215">
        <f>'[2]Изложницы без бурта'!B217</f>
        <v>132.5</v>
      </c>
      <c r="AE217" s="215">
        <f>'[2]Изложницы без бурта'!C217</f>
        <v>320</v>
      </c>
      <c r="AF217" s="56">
        <f>'[2]Изложницы без бурта'!D217</f>
        <v>185</v>
      </c>
      <c r="AG217" s="56">
        <f>'[2]Изложницы без бурта'!E217</f>
        <v>320</v>
      </c>
      <c r="AH217" s="56" t="str">
        <f>'[2]Изложницы без бурта'!F217</f>
        <v>72.47347 - 1</v>
      </c>
      <c r="AI217" s="56">
        <f>'[2]Изложницы без бурта'!G217</f>
        <v>7260004</v>
      </c>
      <c r="AJ217" s="56">
        <f>'[2]Изложницы без бурта'!H217</f>
        <v>0</v>
      </c>
      <c r="AK217" s="56">
        <f>'[2]Изложницы без бурта'!I217</f>
        <v>0</v>
      </c>
      <c r="AL217" s="56" t="s">
        <v>584</v>
      </c>
      <c r="AM217" s="56">
        <f>'[2]Изложницы без бурта'!K217</f>
        <v>0</v>
      </c>
    </row>
    <row r="218" spans="1:39" ht="14.4" thickBot="1" x14ac:dyDescent="0.3">
      <c r="A218" s="329" t="s">
        <v>963</v>
      </c>
      <c r="B218" s="331"/>
      <c r="C218" s="329"/>
      <c r="M218" s="223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X218" s="134"/>
      <c r="Y218" s="134"/>
      <c r="Z218" s="134"/>
      <c r="AA218" s="225"/>
      <c r="AB218" s="253">
        <f t="shared" ref="AB218" si="8">IF(MAX(AC218:AC1295)&lt;ROW(140:140),"",VLOOKUP(ROW(140:140),AC218:AD1295,2))</f>
        <v>510</v>
      </c>
      <c r="AC218" s="254" t="str">
        <f>IF(COUNTIF(AD$78:AD218,AD218)=1,MAX(AC$78:AC217)+1,"")</f>
        <v/>
      </c>
      <c r="AD218" s="215">
        <f>'[2]Изложницы без бурта'!B218</f>
        <v>132.5</v>
      </c>
      <c r="AE218" s="215">
        <f>'[2]Изложницы без бурта'!C218</f>
        <v>373</v>
      </c>
      <c r="AF218" s="56">
        <f>'[2]Изложницы без бурта'!D218</f>
        <v>185</v>
      </c>
      <c r="AG218" s="56">
        <f>'[2]Изложницы без бурта'!E218</f>
        <v>320</v>
      </c>
      <c r="AH218" s="56" t="str">
        <f>'[2]Изложницы без бурта'!F218</f>
        <v>72.43773 - 14</v>
      </c>
      <c r="AI218" s="56">
        <f>'[2]Изложницы без бурта'!G218</f>
        <v>7260002</v>
      </c>
      <c r="AJ218" s="56">
        <f>'[2]Изложницы без бурта'!H218</f>
        <v>0</v>
      </c>
      <c r="AK218" s="56">
        <f>'[2]Изложницы без бурта'!I218</f>
        <v>0</v>
      </c>
      <c r="AL218" s="56" t="s">
        <v>584</v>
      </c>
      <c r="AM218" s="56">
        <f>'[2]Изложницы без бурта'!K218</f>
        <v>0</v>
      </c>
    </row>
    <row r="219" spans="1:39" x14ac:dyDescent="0.25">
      <c r="A219" s="212"/>
      <c r="B219" s="924">
        <v>50</v>
      </c>
      <c r="C219" s="924">
        <v>100</v>
      </c>
      <c r="D219" s="213">
        <v>200</v>
      </c>
      <c r="E219" s="213">
        <v>300</v>
      </c>
      <c r="F219" s="213">
        <v>400</v>
      </c>
      <c r="G219" s="213">
        <v>600</v>
      </c>
      <c r="H219" s="213">
        <v>800</v>
      </c>
      <c r="I219" s="213">
        <v>1200</v>
      </c>
      <c r="J219" s="213">
        <v>1500</v>
      </c>
      <c r="K219" s="214">
        <v>2000</v>
      </c>
      <c r="M219" s="223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X219" s="134"/>
      <c r="Y219" s="134"/>
      <c r="Z219" s="134"/>
      <c r="AA219" s="225"/>
      <c r="AB219" s="253">
        <f t="shared" ref="AB219:AB232" si="9">IF(MAX(AC219:AC1296)&lt;ROW(141:141),"",VLOOKUP(ROW(141:141),AC219:AD1296,2))</f>
        <v>515</v>
      </c>
      <c r="AC219" s="254">
        <f>IF(COUNTIF(AD$78:AD219,AD219)=1,MAX(AC$78:AC218)+1,"")</f>
        <v>20</v>
      </c>
      <c r="AD219" s="215">
        <f>'[2]Изложницы без бурта'!B219</f>
        <v>135</v>
      </c>
      <c r="AE219" s="215">
        <f>'[2]Изложницы без бурта'!C219</f>
        <v>377</v>
      </c>
      <c r="AF219" s="56">
        <f>'[2]Изложницы без бурта'!D219</f>
        <v>185</v>
      </c>
      <c r="AG219" s="56">
        <f>'[2]Изложницы без бурта'!E219</f>
        <v>320</v>
      </c>
      <c r="AH219" s="56" t="str">
        <f>'[2]Изложницы без бурта'!F219</f>
        <v>72.43773 - 15</v>
      </c>
      <c r="AI219" s="56">
        <f>'[2]Изложницы без бурта'!G219</f>
        <v>0</v>
      </c>
      <c r="AJ219" s="56">
        <f>'[2]Изложницы без бурта'!H219</f>
        <v>0</v>
      </c>
      <c r="AK219" s="56">
        <f>'[2]Изложницы без бурта'!I219</f>
        <v>0</v>
      </c>
      <c r="AL219" s="56" t="s">
        <v>585</v>
      </c>
      <c r="AM219" s="56">
        <f>'[2]Изложницы без бурта'!K219</f>
        <v>0</v>
      </c>
    </row>
    <row r="220" spans="1:39" x14ac:dyDescent="0.25">
      <c r="A220" s="925">
        <v>100</v>
      </c>
      <c r="B220" s="331" t="s">
        <v>977</v>
      </c>
      <c r="C220" s="331" t="s">
        <v>980</v>
      </c>
      <c r="D220" s="134" t="s">
        <v>983</v>
      </c>
      <c r="E220" s="134"/>
      <c r="F220" s="134"/>
      <c r="G220" s="134"/>
      <c r="H220" s="134"/>
      <c r="I220" s="134"/>
      <c r="J220" s="134"/>
      <c r="K220" s="225"/>
      <c r="M220" s="223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  <c r="AA220" s="225"/>
      <c r="AB220" s="253">
        <f t="shared" si="9"/>
        <v>517.5</v>
      </c>
      <c r="AC220" s="254" t="str">
        <f>IF(COUNTIF(AD$78:AD220,AD220)=1,MAX(AC$78:AC219)+1,"")</f>
        <v/>
      </c>
      <c r="AD220" s="215">
        <f>'[2]Изложницы без бурта'!B220</f>
        <v>135</v>
      </c>
      <c r="AE220" s="215">
        <f>'[2]Изложницы без бурта'!C220</f>
        <v>380</v>
      </c>
      <c r="AF220" s="56">
        <f>'[2]Изложницы без бурта'!D220</f>
        <v>185</v>
      </c>
      <c r="AG220" s="56">
        <f>'[2]Изложницы без бурта'!E220</f>
        <v>320</v>
      </c>
      <c r="AH220" s="56" t="str">
        <f>'[2]Изложницы без бурта'!F220</f>
        <v>72.43773 - 15</v>
      </c>
      <c r="AI220" s="56">
        <f>'[2]Изложницы без бурта'!G220</f>
        <v>0</v>
      </c>
      <c r="AJ220" s="56">
        <f>'[2]Изложницы без бурта'!H220</f>
        <v>0</v>
      </c>
      <c r="AK220" s="56">
        <f>'[2]Изложницы без бурта'!I220</f>
        <v>0</v>
      </c>
      <c r="AL220" s="56" t="s">
        <v>585</v>
      </c>
      <c r="AM220" s="56">
        <f>'[2]Изложницы без бурта'!K220</f>
        <v>0</v>
      </c>
    </row>
    <row r="221" spans="1:39" x14ac:dyDescent="0.25">
      <c r="A221" s="925">
        <v>200</v>
      </c>
      <c r="B221" s="331" t="s">
        <v>977</v>
      </c>
      <c r="C221" s="331" t="s">
        <v>980</v>
      </c>
      <c r="D221" s="134" t="s">
        <v>982</v>
      </c>
      <c r="E221" s="134" t="s">
        <v>986</v>
      </c>
      <c r="F221" s="134"/>
      <c r="G221" s="134"/>
      <c r="H221" s="134"/>
      <c r="I221" s="134"/>
      <c r="J221" s="134"/>
      <c r="K221" s="225"/>
      <c r="M221" s="223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X221" s="134"/>
      <c r="Y221" s="134"/>
      <c r="Z221" s="134"/>
      <c r="AA221" s="225"/>
      <c r="AB221" s="253">
        <f t="shared" si="9"/>
        <v>520</v>
      </c>
      <c r="AC221" s="254" t="str">
        <f>IF(COUNTIF(AD$78:AD221,AD221)=1,MAX(AC$78:AC220)+1,"")</f>
        <v/>
      </c>
      <c r="AD221" s="215">
        <f>'[2]Изложницы без бурта'!B221</f>
        <v>135</v>
      </c>
      <c r="AE221" s="215">
        <f>'[2]Изложницы без бурта'!C221</f>
        <v>260</v>
      </c>
      <c r="AF221" s="56">
        <f>'[2]Изложницы без бурта'!D221</f>
        <v>185</v>
      </c>
      <c r="AG221" s="56">
        <f>'[2]Изложницы без бурта'!E221</f>
        <v>320</v>
      </c>
      <c r="AH221" s="56" t="str">
        <f>'[2]Изложницы без бурта'!F221</f>
        <v>72.11868 - 15</v>
      </c>
      <c r="AI221" s="56">
        <f>'[2]Изложницы без бурта'!G221</f>
        <v>0</v>
      </c>
      <c r="AJ221" s="56">
        <f>'[2]Изложницы без бурта'!H221</f>
        <v>0</v>
      </c>
      <c r="AK221" s="56">
        <f>'[2]Изложницы без бурта'!I221</f>
        <v>0</v>
      </c>
      <c r="AL221" s="56" t="s">
        <v>585</v>
      </c>
      <c r="AM221" s="56">
        <f>'[2]Изложницы без бурта'!K221</f>
        <v>0</v>
      </c>
    </row>
    <row r="222" spans="1:39" x14ac:dyDescent="0.25">
      <c r="A222" s="925">
        <v>300</v>
      </c>
      <c r="B222" s="331" t="s">
        <v>992</v>
      </c>
      <c r="C222" s="331" t="s">
        <v>979</v>
      </c>
      <c r="D222" s="134" t="s">
        <v>983</v>
      </c>
      <c r="E222" s="134" t="s">
        <v>971</v>
      </c>
      <c r="F222" s="134" t="s">
        <v>987</v>
      </c>
      <c r="G222" s="134"/>
      <c r="H222" s="134"/>
      <c r="I222" s="134"/>
      <c r="J222" s="134"/>
      <c r="K222" s="225"/>
      <c r="M222" s="223"/>
      <c r="N222" s="134"/>
      <c r="O222" s="134"/>
      <c r="P222" s="134"/>
      <c r="Q222" s="134"/>
      <c r="R222" s="134"/>
      <c r="S222" s="134"/>
      <c r="T222" s="134"/>
      <c r="U222" s="134"/>
      <c r="V222" s="134"/>
      <c r="W222" s="134"/>
      <c r="X222" s="134"/>
      <c r="Y222" s="134"/>
      <c r="Z222" s="134"/>
      <c r="AA222" s="225"/>
      <c r="AB222" s="253">
        <f t="shared" si="9"/>
        <v>522.5</v>
      </c>
      <c r="AC222" s="254" t="str">
        <f>IF(COUNTIF(AD$78:AD222,AD222)=1,MAX(AC$78:AC221)+1,"")</f>
        <v/>
      </c>
      <c r="AD222" s="215">
        <f>'[2]Изложницы без бурта'!B222</f>
        <v>135</v>
      </c>
      <c r="AE222" s="215">
        <f>'[2]Изложницы без бурта'!C222</f>
        <v>257</v>
      </c>
      <c r="AF222" s="56">
        <f>'[2]Изложницы без бурта'!D222</f>
        <v>185</v>
      </c>
      <c r="AG222" s="56">
        <f>'[2]Изложницы без бурта'!E222</f>
        <v>320</v>
      </c>
      <c r="AH222" s="56" t="str">
        <f>'[2]Изложницы без бурта'!F222</f>
        <v>72.11868 - 15</v>
      </c>
      <c r="AI222" s="56">
        <f>'[2]Изложницы без бурта'!G222</f>
        <v>0</v>
      </c>
      <c r="AJ222" s="56">
        <f>'[2]Изложницы без бурта'!H222</f>
        <v>0</v>
      </c>
      <c r="AK222" s="56">
        <f>'[2]Изложницы без бурта'!I222</f>
        <v>0</v>
      </c>
      <c r="AL222" s="56" t="s">
        <v>585</v>
      </c>
      <c r="AM222" s="56">
        <f>'[2]Изложницы без бурта'!K222</f>
        <v>0</v>
      </c>
    </row>
    <row r="223" spans="1:39" x14ac:dyDescent="0.25">
      <c r="A223" s="925">
        <v>400</v>
      </c>
      <c r="B223" s="331" t="s">
        <v>983</v>
      </c>
      <c r="C223" s="331" t="s">
        <v>971</v>
      </c>
      <c r="D223" s="134" t="s">
        <v>990</v>
      </c>
      <c r="E223" s="134" t="s">
        <v>997</v>
      </c>
      <c r="F223" s="134" t="s">
        <v>1000</v>
      </c>
      <c r="G223" s="134" t="s">
        <v>1032</v>
      </c>
      <c r="H223" s="134" t="s">
        <v>1246</v>
      </c>
      <c r="I223" s="134" t="s">
        <v>1248</v>
      </c>
      <c r="J223" s="134" t="s">
        <v>1249</v>
      </c>
      <c r="K223" s="225"/>
      <c r="M223" s="223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  <c r="AA223" s="225"/>
      <c r="AB223" s="253">
        <f t="shared" si="9"/>
        <v>525</v>
      </c>
      <c r="AC223" s="254" t="str">
        <f>IF(COUNTIF(AD$78:AD223,AD223)=1,MAX(AC$78:AC222)+1,"")</f>
        <v/>
      </c>
      <c r="AD223" s="215">
        <f>'[2]Изложницы без бурта'!B223</f>
        <v>135</v>
      </c>
      <c r="AE223" s="215">
        <f>'[2]Изложницы без бурта'!C223</f>
        <v>257</v>
      </c>
      <c r="AF223" s="56">
        <f>'[2]Изложницы без бурта'!D223</f>
        <v>185</v>
      </c>
      <c r="AG223" s="56">
        <f>'[2]Изложницы без бурта'!E223</f>
        <v>320</v>
      </c>
      <c r="AH223" s="56" t="str">
        <f>'[2]Изложницы без бурта'!F223</f>
        <v>72.11868 - 15</v>
      </c>
      <c r="AI223" s="56">
        <f>'[2]Изложницы без бурта'!G223</f>
        <v>0</v>
      </c>
      <c r="AJ223" s="56">
        <f>'[2]Изложницы без бурта'!H223</f>
        <v>0</v>
      </c>
      <c r="AK223" s="56">
        <f>'[2]Изложницы без бурта'!I223</f>
        <v>0</v>
      </c>
      <c r="AL223" s="56" t="s">
        <v>585</v>
      </c>
      <c r="AM223" s="56">
        <f>'[2]Изложницы без бурта'!K223</f>
        <v>0</v>
      </c>
    </row>
    <row r="224" spans="1:39" x14ac:dyDescent="0.25">
      <c r="A224" s="925">
        <v>600</v>
      </c>
      <c r="B224" s="331" t="s">
        <v>986</v>
      </c>
      <c r="C224" s="331" t="s">
        <v>986</v>
      </c>
      <c r="D224" s="134" t="s">
        <v>997</v>
      </c>
      <c r="E224" s="134" t="s">
        <v>997</v>
      </c>
      <c r="F224" s="134" t="s">
        <v>1000</v>
      </c>
      <c r="G224" s="134" t="s">
        <v>995</v>
      </c>
      <c r="H224" s="134" t="s">
        <v>999</v>
      </c>
      <c r="I224" s="134" t="s">
        <v>1247</v>
      </c>
      <c r="J224" s="134" t="s">
        <v>1236</v>
      </c>
      <c r="K224" s="225"/>
      <c r="M224" s="223"/>
      <c r="N224" s="134"/>
      <c r="O224" s="134"/>
      <c r="P224" s="134"/>
      <c r="Q224" s="134"/>
      <c r="R224" s="134"/>
      <c r="S224" s="134"/>
      <c r="T224" s="134"/>
      <c r="U224" s="134"/>
      <c r="V224" s="134"/>
      <c r="W224" s="134"/>
      <c r="X224" s="134"/>
      <c r="Y224" s="134"/>
      <c r="Z224" s="134"/>
      <c r="AA224" s="225"/>
      <c r="AB224" s="253">
        <f t="shared" si="9"/>
        <v>527.5</v>
      </c>
      <c r="AC224" s="254" t="str">
        <f>IF(COUNTIF(AD$78:AD224,AD224)=1,MAX(AC$78:AC223)+1,"")</f>
        <v/>
      </c>
      <c r="AD224" s="215">
        <f>'[2]Изложницы без бурта'!B224</f>
        <v>135</v>
      </c>
      <c r="AE224" s="215">
        <f>'[2]Изложницы без бурта'!C224</f>
        <v>255</v>
      </c>
      <c r="AF224" s="56">
        <f>'[2]Изложницы без бурта'!D224</f>
        <v>185</v>
      </c>
      <c r="AG224" s="56">
        <f>'[2]Изложницы без бурта'!E224</f>
        <v>320</v>
      </c>
      <c r="AH224" s="56" t="str">
        <f>'[2]Изложницы без бурта'!F224</f>
        <v>72.471147 - 1</v>
      </c>
      <c r="AI224" s="56">
        <f>'[2]Изложницы без бурта'!G224</f>
        <v>7260005</v>
      </c>
      <c r="AJ224" s="56">
        <f>'[2]Изложницы без бурта'!H224</f>
        <v>0</v>
      </c>
      <c r="AK224" s="56">
        <f>'[2]Изложницы без бурта'!I224</f>
        <v>0</v>
      </c>
      <c r="AL224" s="56" t="s">
        <v>585</v>
      </c>
      <c r="AM224" s="56">
        <f>'[2]Изложницы без бурта'!K224</f>
        <v>0</v>
      </c>
    </row>
    <row r="225" spans="1:39" x14ac:dyDescent="0.25">
      <c r="A225" s="925">
        <v>800</v>
      </c>
      <c r="B225" s="331" t="s">
        <v>973</v>
      </c>
      <c r="C225" s="331" t="s">
        <v>975</v>
      </c>
      <c r="D225" s="134" t="s">
        <v>975</v>
      </c>
      <c r="E225" s="134" t="s">
        <v>995</v>
      </c>
      <c r="F225" s="134" t="s">
        <v>1001</v>
      </c>
      <c r="G225" s="134" t="s">
        <v>988</v>
      </c>
      <c r="H225" s="134" t="s">
        <v>989</v>
      </c>
      <c r="I225" s="134" t="s">
        <v>999</v>
      </c>
      <c r="J225" s="134" t="s">
        <v>1235</v>
      </c>
      <c r="K225" s="225"/>
      <c r="M225" s="223"/>
      <c r="N225" s="134"/>
      <c r="O225" s="134"/>
      <c r="P225" s="134"/>
      <c r="Q225" s="134"/>
      <c r="R225" s="134"/>
      <c r="S225" s="134"/>
      <c r="T225" s="134"/>
      <c r="U225" s="134"/>
      <c r="V225" s="134"/>
      <c r="W225" s="134"/>
      <c r="X225" s="134"/>
      <c r="Y225" s="134"/>
      <c r="Z225" s="134"/>
      <c r="AA225" s="225"/>
      <c r="AB225" s="253">
        <f t="shared" si="9"/>
        <v>530</v>
      </c>
      <c r="AC225" s="254" t="str">
        <f>IF(COUNTIF(AD$78:AD225,AD225)=1,MAX(AC$78:AC224)+1,"")</f>
        <v/>
      </c>
      <c r="AD225" s="215">
        <f>'[2]Изложницы без бурта'!B225</f>
        <v>135</v>
      </c>
      <c r="AE225" s="215">
        <f>'[2]Изложницы без бурта'!C225</f>
        <v>260</v>
      </c>
      <c r="AF225" s="56">
        <f>'[2]Изложницы без бурта'!D225</f>
        <v>185</v>
      </c>
      <c r="AG225" s="56">
        <f>'[2]Изложницы без бурта'!E225</f>
        <v>320</v>
      </c>
      <c r="AH225" s="56" t="str">
        <f>'[2]Изложницы без бурта'!F225</f>
        <v>72.11868 - 15</v>
      </c>
      <c r="AI225" s="56">
        <f>'[2]Изложницы без бурта'!G225</f>
        <v>0</v>
      </c>
      <c r="AJ225" s="56">
        <f>'[2]Изложницы без бурта'!H225</f>
        <v>0</v>
      </c>
      <c r="AK225" s="56">
        <f>'[2]Изложницы без бурта'!I225</f>
        <v>0</v>
      </c>
      <c r="AL225" s="56" t="s">
        <v>585</v>
      </c>
      <c r="AM225" s="56">
        <f>'[2]Изложницы без бурта'!K225</f>
        <v>0</v>
      </c>
    </row>
    <row r="226" spans="1:39" x14ac:dyDescent="0.25">
      <c r="A226" s="925">
        <v>1000</v>
      </c>
      <c r="B226" s="331" t="s">
        <v>975</v>
      </c>
      <c r="C226" s="331" t="s">
        <v>995</v>
      </c>
      <c r="D226" s="134" t="s">
        <v>995</v>
      </c>
      <c r="E226" s="134" t="s">
        <v>988</v>
      </c>
      <c r="F226" s="134" t="s">
        <v>1002</v>
      </c>
      <c r="G226" s="134" t="s">
        <v>1002</v>
      </c>
      <c r="H226" s="134" t="s">
        <v>994</v>
      </c>
      <c r="I226" s="134" t="s">
        <v>996</v>
      </c>
      <c r="J226" s="134" t="s">
        <v>1023</v>
      </c>
      <c r="K226" s="225"/>
      <c r="M226" s="223"/>
      <c r="N226" s="134"/>
      <c r="O226" s="134"/>
      <c r="P226" s="134"/>
      <c r="Q226" s="134"/>
      <c r="R226" s="134"/>
      <c r="S226" s="134"/>
      <c r="T226" s="134"/>
      <c r="U226" s="134"/>
      <c r="V226" s="134"/>
      <c r="W226" s="134"/>
      <c r="X226" s="134"/>
      <c r="Y226" s="134"/>
      <c r="Z226" s="134"/>
      <c r="AA226" s="225"/>
      <c r="AB226" s="253">
        <f t="shared" si="9"/>
        <v>532.5</v>
      </c>
      <c r="AC226" s="254" t="str">
        <f>IF(COUNTIF(AD$78:AD226,AD226)=1,MAX(AC$78:AC225)+1,"")</f>
        <v/>
      </c>
      <c r="AD226" s="215">
        <f>'[2]Изложницы без бурта'!B226</f>
        <v>135</v>
      </c>
      <c r="AE226" s="215">
        <f>'[2]Изложницы без бурта'!C226</f>
        <v>255</v>
      </c>
      <c r="AF226" s="56">
        <f>'[2]Изложницы без бурта'!D226</f>
        <v>185</v>
      </c>
      <c r="AG226" s="56">
        <f>'[2]Изложницы без бурта'!E226</f>
        <v>320</v>
      </c>
      <c r="AH226" s="56" t="str">
        <f>'[2]Изложницы без бурта'!F226</f>
        <v>72.11868 - 15</v>
      </c>
      <c r="AI226" s="56">
        <f>'[2]Изложницы без бурта'!G226</f>
        <v>0</v>
      </c>
      <c r="AJ226" s="56">
        <f>'[2]Изложницы без бурта'!H226</f>
        <v>0</v>
      </c>
      <c r="AK226" s="56">
        <f>'[2]Изложницы без бурта'!I226</f>
        <v>0</v>
      </c>
      <c r="AL226" s="56" t="s">
        <v>585</v>
      </c>
      <c r="AM226" s="56">
        <f>'[2]Изложницы без бурта'!K226</f>
        <v>0</v>
      </c>
    </row>
    <row r="227" spans="1:39" x14ac:dyDescent="0.25">
      <c r="A227" s="925">
        <v>1500</v>
      </c>
      <c r="B227" s="331" t="s">
        <v>993</v>
      </c>
      <c r="C227" s="331" t="s">
        <v>994</v>
      </c>
      <c r="D227" s="134" t="s">
        <v>994</v>
      </c>
      <c r="E227" s="134" t="s">
        <v>996</v>
      </c>
      <c r="F227" s="134" t="s">
        <v>998</v>
      </c>
      <c r="G227" s="134" t="s">
        <v>998</v>
      </c>
      <c r="H227" s="134" t="s">
        <v>999</v>
      </c>
      <c r="I227" s="134" t="s">
        <v>999</v>
      </c>
      <c r="J227" s="134" t="s">
        <v>1023</v>
      </c>
      <c r="K227" s="225" t="s">
        <v>1023</v>
      </c>
      <c r="M227" s="223"/>
      <c r="N227" s="134"/>
      <c r="O227" s="134"/>
      <c r="P227" s="134"/>
      <c r="Q227" s="134"/>
      <c r="R227" s="134"/>
      <c r="S227" s="134"/>
      <c r="T227" s="134"/>
      <c r="U227" s="134"/>
      <c r="V227" s="134"/>
      <c r="W227" s="134"/>
      <c r="X227" s="134"/>
      <c r="Y227" s="134"/>
      <c r="Z227" s="134"/>
      <c r="AA227" s="225"/>
      <c r="AB227" s="253">
        <f t="shared" si="9"/>
        <v>535</v>
      </c>
      <c r="AC227" s="254">
        <f>IF(COUNTIF(AD$78:AD227,AD227)=1,MAX(AC$78:AC226)+1,"")</f>
        <v>21</v>
      </c>
      <c r="AD227" s="215">
        <f>'[2]Изложницы без бурта'!B227</f>
        <v>137.5</v>
      </c>
      <c r="AE227" s="215">
        <f>'[2]Изложницы без бурта'!C227</f>
        <v>265</v>
      </c>
      <c r="AF227" s="56">
        <f>'[2]Изложницы без бурта'!D227</f>
        <v>285</v>
      </c>
      <c r="AG227" s="56">
        <f>'[2]Изложницы без бурта'!E227</f>
        <v>320</v>
      </c>
      <c r="AH227" s="56" t="str">
        <f>'[2]Изложницы без бурта'!F227</f>
        <v>72.11868 - 16</v>
      </c>
      <c r="AI227" s="56">
        <f>'[2]Изложницы без бурта'!G227</f>
        <v>0</v>
      </c>
      <c r="AJ227" s="56">
        <f>'[2]Изложницы без бурта'!H227</f>
        <v>0</v>
      </c>
      <c r="AK227" s="56">
        <f>'[2]Изложницы без бурта'!I227</f>
        <v>0</v>
      </c>
      <c r="AL227" s="56" t="s">
        <v>586</v>
      </c>
      <c r="AM227" s="56">
        <f>'[2]Изложницы без бурта'!K227</f>
        <v>0</v>
      </c>
    </row>
    <row r="228" spans="1:39" x14ac:dyDescent="0.25">
      <c r="A228" s="925">
        <v>2000</v>
      </c>
      <c r="B228" s="331" t="s">
        <v>994</v>
      </c>
      <c r="C228" s="331" t="s">
        <v>996</v>
      </c>
      <c r="D228" s="134" t="s">
        <v>998</v>
      </c>
      <c r="E228" s="134" t="s">
        <v>999</v>
      </c>
      <c r="F228" s="134" t="s">
        <v>999</v>
      </c>
      <c r="G228" s="134" t="s">
        <v>1003</v>
      </c>
      <c r="H228" s="134" t="s">
        <v>1004</v>
      </c>
      <c r="I228" s="134" t="s">
        <v>1004</v>
      </c>
      <c r="J228" s="134" t="s">
        <v>1023</v>
      </c>
      <c r="K228" s="225" t="s">
        <v>1023</v>
      </c>
      <c r="M228" s="223"/>
      <c r="N228" s="134"/>
      <c r="O228" s="134"/>
      <c r="P228" s="134"/>
      <c r="Q228" s="134"/>
      <c r="R228" s="134"/>
      <c r="S228" s="134"/>
      <c r="T228" s="134"/>
      <c r="U228" s="134"/>
      <c r="V228" s="134"/>
      <c r="W228" s="134"/>
      <c r="X228" s="134"/>
      <c r="Y228" s="134"/>
      <c r="Z228" s="134"/>
      <c r="AA228" s="225"/>
      <c r="AB228" s="253">
        <f t="shared" si="9"/>
        <v>537.5</v>
      </c>
      <c r="AC228" s="254">
        <f>IF(COUNTIF(AD$78:AD228,AD228)=1,MAX(AC$78:AC227)+1,"")</f>
        <v>22</v>
      </c>
      <c r="AD228" s="215">
        <f>'[2]Изложницы без бурта'!B228</f>
        <v>140</v>
      </c>
      <c r="AE228" s="215">
        <f>'[2]Изложницы без бурта'!C228</f>
        <v>375</v>
      </c>
      <c r="AF228" s="56">
        <f>'[2]Изложницы без бурта'!D228</f>
        <v>285</v>
      </c>
      <c r="AG228" s="56">
        <f>'[2]Изложницы без бурта'!E228</f>
        <v>320</v>
      </c>
      <c r="AH228" s="56" t="str">
        <f>'[2]Изложницы без бурта'!F228</f>
        <v>72.42461 - 1</v>
      </c>
      <c r="AI228" s="56">
        <f>'[2]Изложницы без бурта'!G228</f>
        <v>0</v>
      </c>
      <c r="AJ228" s="56">
        <f>'[2]Изложницы без бурта'!H228</f>
        <v>0</v>
      </c>
      <c r="AK228" s="56">
        <f>'[2]Изложницы без бурта'!I228</f>
        <v>0</v>
      </c>
      <c r="AL228" s="56" t="s">
        <v>587</v>
      </c>
      <c r="AM228" s="56">
        <f>'[2]Изложницы без бурта'!K228</f>
        <v>0</v>
      </c>
    </row>
    <row r="229" spans="1:39" ht="14.4" thickBot="1" x14ac:dyDescent="0.3">
      <c r="A229" s="306">
        <v>2500</v>
      </c>
      <c r="B229" s="307" t="s">
        <v>998</v>
      </c>
      <c r="C229" s="307" t="s">
        <v>999</v>
      </c>
      <c r="D229" s="307" t="s">
        <v>999</v>
      </c>
      <c r="E229" s="307" t="s">
        <v>1003</v>
      </c>
      <c r="F229" s="307" t="s">
        <v>1004</v>
      </c>
      <c r="G229" s="307" t="s">
        <v>1004</v>
      </c>
      <c r="H229" s="307" t="s">
        <v>1022</v>
      </c>
      <c r="I229" s="307" t="s">
        <v>1022</v>
      </c>
      <c r="J229" s="307" t="s">
        <v>1023</v>
      </c>
      <c r="K229" s="308" t="s">
        <v>1023</v>
      </c>
      <c r="M229" s="306"/>
      <c r="N229" s="307"/>
      <c r="O229" s="307"/>
      <c r="P229" s="307"/>
      <c r="Q229" s="307"/>
      <c r="R229" s="307"/>
      <c r="S229" s="307"/>
      <c r="T229" s="307"/>
      <c r="U229" s="307"/>
      <c r="V229" s="307"/>
      <c r="W229" s="307"/>
      <c r="X229" s="307"/>
      <c r="Y229" s="307"/>
      <c r="Z229" s="307"/>
      <c r="AA229" s="308"/>
      <c r="AB229" s="253">
        <f t="shared" si="9"/>
        <v>545</v>
      </c>
      <c r="AC229" s="254" t="str">
        <f>IF(COUNTIF(AD$78:AD229,AD229)=1,MAX(AC$78:AC228)+1,"")</f>
        <v/>
      </c>
      <c r="AD229" s="215">
        <f>'[2]Изложницы без бурта'!B229</f>
        <v>140</v>
      </c>
      <c r="AE229" s="215">
        <f>'[2]Изложницы без бурта'!C229</f>
        <v>317</v>
      </c>
      <c r="AF229" s="56">
        <f>'[2]Изложницы без бурта'!D229</f>
        <v>285</v>
      </c>
      <c r="AG229" s="56">
        <f>'[2]Изложницы без бурта'!E229</f>
        <v>320</v>
      </c>
      <c r="AH229" s="56" t="str">
        <f>'[2]Изложницы без бурта'!F229</f>
        <v>72.11871 - 1</v>
      </c>
      <c r="AI229" s="56">
        <f>'[2]Изложницы без бурта'!G229</f>
        <v>0</v>
      </c>
      <c r="AJ229" s="56">
        <f>'[2]Изложницы без бурта'!H229</f>
        <v>0</v>
      </c>
      <c r="AK229" s="56">
        <f>'[2]Изложницы без бурта'!I229</f>
        <v>0</v>
      </c>
      <c r="AL229" s="56" t="s">
        <v>587</v>
      </c>
      <c r="AM229" s="56">
        <f>'[2]Изложницы без бурта'!K229</f>
        <v>0</v>
      </c>
    </row>
    <row r="230" spans="1:39" x14ac:dyDescent="0.25">
      <c r="AB230" s="253">
        <f t="shared" si="9"/>
        <v>547.5</v>
      </c>
      <c r="AC230" s="254" t="str">
        <f>IF(COUNTIF(AD$78:AD230,AD230)=1,MAX(AC$78:AC229)+1,"")</f>
        <v/>
      </c>
      <c r="AD230" s="215">
        <f>'[2]Изложницы без бурта'!B230</f>
        <v>140</v>
      </c>
      <c r="AE230" s="215">
        <f>'[2]Изложницы без бурта'!C230</f>
        <v>377</v>
      </c>
      <c r="AF230" s="56">
        <f>'[2]Изложницы без бурта'!D230</f>
        <v>285</v>
      </c>
      <c r="AG230" s="56">
        <f>'[2]Изложницы без бурта'!E230</f>
        <v>320</v>
      </c>
      <c r="AH230" s="56" t="str">
        <f>'[2]Изложницы без бурта'!F230</f>
        <v>72.42461 - 1</v>
      </c>
      <c r="AI230" s="56">
        <f>'[2]Изложницы без бурта'!G230</f>
        <v>0</v>
      </c>
      <c r="AJ230" s="56">
        <f>'[2]Изложницы без бурта'!H230</f>
        <v>0</v>
      </c>
      <c r="AK230" s="56">
        <f>'[2]Изложницы без бурта'!I230</f>
        <v>0</v>
      </c>
      <c r="AL230" s="56" t="s">
        <v>587</v>
      </c>
      <c r="AM230" s="56">
        <f>'[2]Изложницы без бурта'!K230</f>
        <v>0</v>
      </c>
    </row>
    <row r="231" spans="1:39" ht="14.4" thickBot="1" x14ac:dyDescent="0.3">
      <c r="A231" s="56" t="b">
        <f>$B204&lt;=A208</f>
        <v>0</v>
      </c>
      <c r="B231" s="56" t="b">
        <f>$B204&lt;=A209</f>
        <v>0</v>
      </c>
      <c r="C231" s="56" t="b">
        <f>$B204&lt;=A210</f>
        <v>0</v>
      </c>
      <c r="D231" s="56" t="b">
        <f>$B204&lt;=A211</f>
        <v>0</v>
      </c>
      <c r="E231" s="56" t="b">
        <f>$B204&lt;=A212</f>
        <v>0</v>
      </c>
      <c r="F231" s="56" t="b">
        <f>$B204&lt;=A213</f>
        <v>1</v>
      </c>
      <c r="G231" s="56" t="b">
        <f>$B204&lt;=A214</f>
        <v>1</v>
      </c>
      <c r="H231" s="56" t="b">
        <f>$B204&lt;=A215</f>
        <v>1</v>
      </c>
      <c r="I231" s="56" t="b">
        <f>$B204&lt;=A216</f>
        <v>1</v>
      </c>
      <c r="J231" s="56" t="b">
        <f>$B204&lt;=A217</f>
        <v>1</v>
      </c>
      <c r="AB231" s="253">
        <f t="shared" si="9"/>
        <v>555</v>
      </c>
      <c r="AC231" s="254" t="str">
        <f>IF(COUNTIF(AD$78:AD231,AD231)=1,MAX(AC$78:AC230)+1,"")</f>
        <v/>
      </c>
      <c r="AD231" s="215">
        <f>'[2]Изложницы без бурта'!B231</f>
        <v>140</v>
      </c>
      <c r="AE231" s="215">
        <f>'[2]Изложницы без бурта'!C231</f>
        <v>263</v>
      </c>
      <c r="AF231" s="56">
        <f>'[2]Изложницы без бурта'!D231</f>
        <v>285</v>
      </c>
      <c r="AG231" s="56">
        <f>'[2]Изложницы без бурта'!E231</f>
        <v>320</v>
      </c>
      <c r="AH231" s="56" t="str">
        <f>'[2]Изложницы без бурта'!F231</f>
        <v>72.11870 - 1</v>
      </c>
      <c r="AI231" s="56">
        <f>'[2]Изложницы без бурта'!G231</f>
        <v>0</v>
      </c>
      <c r="AJ231" s="56">
        <f>'[2]Изложницы без бурта'!H231</f>
        <v>0</v>
      </c>
      <c r="AK231" s="56">
        <f>'[2]Изложницы без бурта'!I231</f>
        <v>0</v>
      </c>
      <c r="AL231" s="56" t="s">
        <v>587</v>
      </c>
      <c r="AM231" s="56">
        <f>'[2]Изложницы без бурта'!K231</f>
        <v>0</v>
      </c>
    </row>
    <row r="232" spans="1:39" ht="16.2" thickBot="1" x14ac:dyDescent="0.35">
      <c r="A232" s="56">
        <v>100</v>
      </c>
      <c r="B232" s="241">
        <v>200</v>
      </c>
      <c r="C232" s="56">
        <v>300</v>
      </c>
      <c r="D232" s="56">
        <v>400</v>
      </c>
      <c r="E232" s="56">
        <v>600</v>
      </c>
      <c r="F232" s="56">
        <v>800</v>
      </c>
      <c r="G232" s="56">
        <v>1000</v>
      </c>
      <c r="H232" s="56">
        <v>1500</v>
      </c>
      <c r="I232" s="56">
        <v>2000</v>
      </c>
      <c r="J232" s="56">
        <v>2500</v>
      </c>
      <c r="M232" s="1525" t="s">
        <v>1275</v>
      </c>
      <c r="N232" s="631"/>
      <c r="O232" s="631"/>
      <c r="P232" s="1556" t="s">
        <v>1245</v>
      </c>
      <c r="Q232" s="1558"/>
      <c r="R232" s="1465" t="s">
        <v>1243</v>
      </c>
      <c r="S232" s="1463" t="s">
        <v>1244</v>
      </c>
      <c r="T232" s="1464"/>
      <c r="U232" s="1465"/>
      <c r="AB232" s="253">
        <f t="shared" si="9"/>
        <v>560</v>
      </c>
      <c r="AC232" s="254" t="str">
        <f>IF(COUNTIF(AD$78:AD232,AD232)=1,MAX(AC$78:AC231)+1,"")</f>
        <v/>
      </c>
      <c r="AD232" s="215">
        <f>'[2]Изложницы без бурта'!B232</f>
        <v>140</v>
      </c>
      <c r="AE232" s="215">
        <f>'[2]Изложницы без бурта'!C232</f>
        <v>377</v>
      </c>
      <c r="AF232" s="56">
        <f>'[2]Изложницы без бурта'!D232</f>
        <v>285</v>
      </c>
      <c r="AG232" s="56">
        <f>'[2]Изложницы без бурта'!E232</f>
        <v>320</v>
      </c>
      <c r="AH232" s="56" t="str">
        <f>'[2]Изложницы без бурта'!F232</f>
        <v>72.42461 - 1</v>
      </c>
      <c r="AI232" s="56">
        <f>'[2]Изложницы без бурта'!G232</f>
        <v>0</v>
      </c>
      <c r="AJ232" s="56">
        <f>'[2]Изложницы без бурта'!H232</f>
        <v>0</v>
      </c>
      <c r="AK232" s="56">
        <f>'[2]Изложницы без бурта'!I232</f>
        <v>0</v>
      </c>
      <c r="AL232" s="56" t="s">
        <v>587</v>
      </c>
      <c r="AM232" s="56">
        <f>'[2]Изложницы без бурта'!K232</f>
        <v>0</v>
      </c>
    </row>
    <row r="233" spans="1:39" ht="15.6" x14ac:dyDescent="0.3">
      <c r="A233" s="56">
        <v>1</v>
      </c>
      <c r="B233" s="241">
        <v>2</v>
      </c>
      <c r="C233" s="56">
        <v>3</v>
      </c>
      <c r="D233" s="56">
        <v>4</v>
      </c>
      <c r="E233" s="56">
        <v>5</v>
      </c>
      <c r="F233" s="56">
        <v>6</v>
      </c>
      <c r="G233" s="56">
        <v>7</v>
      </c>
      <c r="H233" s="56">
        <v>8</v>
      </c>
      <c r="I233" s="56">
        <v>9</v>
      </c>
      <c r="J233" s="56">
        <v>10</v>
      </c>
      <c r="M233" s="630" t="b">
        <f>$N$247&lt;=N233</f>
        <v>0</v>
      </c>
      <c r="N233" s="447">
        <f>IF(MAX(O234:O244)&lt;ROW(Втулка!1:1),"",VLOOKUP(ROW(Втулка!1:1),O233:P242,2))</f>
        <v>700</v>
      </c>
      <c r="O233" s="447">
        <f>IF(COUNTIF(P$232:P233,P233)=1,MAX(O$232:O232)+1,"")</f>
        <v>1</v>
      </c>
      <c r="P233" s="447">
        <v>700</v>
      </c>
      <c r="Q233" s="447">
        <v>700</v>
      </c>
      <c r="R233" s="134">
        <v>200</v>
      </c>
      <c r="S233" s="447">
        <v>200</v>
      </c>
      <c r="T233" s="447">
        <v>350</v>
      </c>
      <c r="U233" s="634">
        <v>150</v>
      </c>
      <c r="AB233" s="253">
        <f t="shared" ref="AB233:AB278" si="10">IF(MAX(AC233:AC1310)&lt;ROW(155:155),"",VLOOKUP(ROW(155:155),AC233:AD1310,2))</f>
        <v>565</v>
      </c>
      <c r="AC233" s="254" t="str">
        <f>IF(COUNTIF(AD$78:AD233,AD233)=1,MAX(AC$78:AC232)+1,"")</f>
        <v/>
      </c>
      <c r="AD233" s="215">
        <f>'[2]Изложницы без бурта'!B233</f>
        <v>140</v>
      </c>
      <c r="AE233" s="215">
        <f>'[2]Изложницы без бурта'!C233</f>
        <v>320</v>
      </c>
      <c r="AF233" s="56">
        <f>'[2]Изложницы без бурта'!D233</f>
        <v>285</v>
      </c>
      <c r="AG233" s="56">
        <f>'[2]Изложницы без бурта'!E233</f>
        <v>320</v>
      </c>
      <c r="AH233" s="56" t="str">
        <f>'[2]Изложницы без бурта'!F233</f>
        <v>72.11871 - 1</v>
      </c>
      <c r="AI233" s="56">
        <f>'[2]Изложницы без бурта'!G233</f>
        <v>0</v>
      </c>
      <c r="AJ233" s="56">
        <f>'[2]Изложницы без бурта'!H233</f>
        <v>0</v>
      </c>
      <c r="AK233" s="56">
        <f>'[2]Изложницы без бурта'!I233</f>
        <v>0</v>
      </c>
      <c r="AL233" s="56" t="s">
        <v>587</v>
      </c>
      <c r="AM233" s="56">
        <f>'[2]Изложницы без бурта'!K233</f>
        <v>0</v>
      </c>
    </row>
    <row r="234" spans="1:39" ht="15.6" x14ac:dyDescent="0.3">
      <c r="A234" s="56" t="b">
        <f>$B205&lt;=B207</f>
        <v>0</v>
      </c>
      <c r="B234" s="56" t="b">
        <f t="shared" ref="B234:H234" si="11">$B205&lt;=C207</f>
        <v>0</v>
      </c>
      <c r="C234" s="56" t="b">
        <f>$B205&lt;=D207</f>
        <v>1</v>
      </c>
      <c r="D234" s="56" t="b">
        <f t="shared" si="11"/>
        <v>1</v>
      </c>
      <c r="E234" s="56" t="b">
        <f t="shared" si="11"/>
        <v>1</v>
      </c>
      <c r="F234" s="56" t="b">
        <f t="shared" si="11"/>
        <v>1</v>
      </c>
      <c r="G234" s="56" t="b">
        <f t="shared" si="11"/>
        <v>1</v>
      </c>
      <c r="H234" s="56" t="b">
        <f t="shared" si="11"/>
        <v>1</v>
      </c>
      <c r="I234" s="56" t="b">
        <f>$B205&lt;=J207</f>
        <v>1</v>
      </c>
      <c r="J234" s="56" t="b">
        <f>$B205&lt;=K207</f>
        <v>1</v>
      </c>
      <c r="M234" s="630" t="b">
        <f>$N$247&lt;=N234</f>
        <v>1</v>
      </c>
      <c r="N234" s="447">
        <f>IF(MAX(O234:O244)&lt;ROW(Втулка!2:2),"",VLOOKUP(ROW(Втулка!2:2),O234:P244,2))</f>
        <v>1000</v>
      </c>
      <c r="O234" s="447">
        <f>IF(COUNTIF(P$232:P234,P234)=1,MAX(O$232:O233)+1,"")</f>
        <v>2</v>
      </c>
      <c r="P234" s="447">
        <v>1000</v>
      </c>
      <c r="Q234" s="447">
        <v>1000</v>
      </c>
      <c r="R234" s="134">
        <v>200</v>
      </c>
      <c r="S234" s="447">
        <v>200</v>
      </c>
      <c r="T234" s="447">
        <v>350</v>
      </c>
      <c r="U234" s="634"/>
      <c r="AB234" s="253">
        <f t="shared" si="10"/>
        <v>572.5</v>
      </c>
      <c r="AC234" s="254" t="str">
        <f>IF(COUNTIF(AD$78:AD234,AD234)=1,MAX(AC$78:AC233)+1,"")</f>
        <v/>
      </c>
      <c r="AD234" s="215">
        <f>'[2]Изложницы без бурта'!B234</f>
        <v>140</v>
      </c>
      <c r="AE234" s="215">
        <f>'[2]Изложницы без бурта'!C234</f>
        <v>320</v>
      </c>
      <c r="AF234" s="56">
        <f>'[2]Изложницы без бурта'!D234</f>
        <v>285</v>
      </c>
      <c r="AG234" s="56">
        <f>'[2]Изложницы без бурта'!E234</f>
        <v>320</v>
      </c>
      <c r="AH234" s="56" t="str">
        <f>'[2]Изложницы без бурта'!F234</f>
        <v>72.11871 - 1</v>
      </c>
      <c r="AI234" s="56">
        <f>'[2]Изложницы без бурта'!G234</f>
        <v>0</v>
      </c>
      <c r="AJ234" s="56">
        <f>'[2]Изложницы без бурта'!H234</f>
        <v>0</v>
      </c>
      <c r="AK234" s="56">
        <f>'[2]Изложницы без бурта'!I234</f>
        <v>0</v>
      </c>
      <c r="AL234" s="56" t="s">
        <v>587</v>
      </c>
      <c r="AM234" s="56">
        <f>'[2]Изложницы без бурта'!K234</f>
        <v>0</v>
      </c>
    </row>
    <row r="235" spans="1:39" ht="15.6" x14ac:dyDescent="0.3">
      <c r="A235" s="56">
        <v>50</v>
      </c>
      <c r="B235" s="241">
        <v>100</v>
      </c>
      <c r="C235" s="56">
        <v>200</v>
      </c>
      <c r="D235" s="56">
        <v>300</v>
      </c>
      <c r="E235" s="56">
        <v>400</v>
      </c>
      <c r="F235" s="56">
        <v>600</v>
      </c>
      <c r="G235" s="56">
        <v>800</v>
      </c>
      <c r="H235" s="56">
        <v>1200</v>
      </c>
      <c r="I235" s="56">
        <v>1500</v>
      </c>
      <c r="J235" s="56">
        <v>2000</v>
      </c>
      <c r="M235" s="630" t="b">
        <f>$N$247&lt;=N235</f>
        <v>1</v>
      </c>
      <c r="N235" s="447">
        <f>IF(MAX(O234:O244)&lt;ROW(Втулка!3:3),"",VLOOKUP(ROW(Втулка!3:3),O234:P244,2))</f>
        <v>1150</v>
      </c>
      <c r="O235" s="447">
        <f>IF(COUNTIF(P$232:P235,P235)=1,MAX(O$232:O234)+1,"")</f>
        <v>3</v>
      </c>
      <c r="P235" s="447">
        <v>1150</v>
      </c>
      <c r="Q235" s="447">
        <v>1350</v>
      </c>
      <c r="R235" s="134">
        <v>320</v>
      </c>
      <c r="S235" s="447">
        <v>320</v>
      </c>
      <c r="T235" s="447">
        <v>500</v>
      </c>
      <c r="U235" s="634"/>
      <c r="AB235" s="253">
        <f t="shared" si="10"/>
        <v>575</v>
      </c>
      <c r="AC235" s="254" t="str">
        <f>IF(COUNTIF(AD$78:AD235,AD235)=1,MAX(AC$78:AC234)+1,"")</f>
        <v/>
      </c>
      <c r="AD235" s="215">
        <f>'[2]Изложницы без бурта'!B235</f>
        <v>140</v>
      </c>
      <c r="AE235" s="215">
        <f>'[2]Изложницы без бурта'!C235</f>
        <v>265</v>
      </c>
      <c r="AF235" s="56">
        <f>'[2]Изложницы без бурта'!D235</f>
        <v>285</v>
      </c>
      <c r="AG235" s="56">
        <f>'[2]Изложницы без бурта'!E235</f>
        <v>320</v>
      </c>
      <c r="AH235" s="56" t="str">
        <f>'[2]Изложницы без бурта'!F235</f>
        <v>72.11870 - 1</v>
      </c>
      <c r="AI235" s="56">
        <f>'[2]Изложницы без бурта'!G235</f>
        <v>0</v>
      </c>
      <c r="AJ235" s="56">
        <f>'[2]Изложницы без бурта'!H235</f>
        <v>0</v>
      </c>
      <c r="AK235" s="56">
        <f>'[2]Изложницы без бурта'!I235</f>
        <v>0</v>
      </c>
      <c r="AL235" s="56" t="s">
        <v>587</v>
      </c>
      <c r="AM235" s="56">
        <f>'[2]Изложницы без бурта'!K235</f>
        <v>0</v>
      </c>
    </row>
    <row r="236" spans="1:39" ht="15.6" x14ac:dyDescent="0.3">
      <c r="A236" s="56">
        <v>2</v>
      </c>
      <c r="B236" s="241">
        <v>3</v>
      </c>
      <c r="C236" s="56">
        <v>4</v>
      </c>
      <c r="D236" s="56">
        <v>5</v>
      </c>
      <c r="E236" s="56">
        <v>6</v>
      </c>
      <c r="F236" s="56">
        <v>7</v>
      </c>
      <c r="G236" s="56">
        <v>8</v>
      </c>
      <c r="H236" s="56">
        <v>9</v>
      </c>
      <c r="I236" s="56">
        <v>10</v>
      </c>
      <c r="J236" s="56">
        <v>11</v>
      </c>
      <c r="M236" s="630" t="b">
        <f>$N$247&lt;=N236</f>
        <v>1</v>
      </c>
      <c r="N236" s="447">
        <f>IF(MAX(O235:O244)&lt;ROW(Втулка!4:4),"",VLOOKUP(ROW(Втулка!4:4),O234:P244,2))</f>
        <v>1200</v>
      </c>
      <c r="O236" s="447">
        <f>IF(COUNTIF(P$232:P236,P236)=1,MAX(O$232:O235)+1,"")</f>
        <v>4</v>
      </c>
      <c r="P236" s="447">
        <v>1200</v>
      </c>
      <c r="Q236" s="447">
        <v>1200</v>
      </c>
      <c r="R236" s="134">
        <v>200</v>
      </c>
      <c r="S236" s="447">
        <v>200</v>
      </c>
      <c r="T236" s="447">
        <v>350</v>
      </c>
      <c r="U236" s="634"/>
      <c r="AB236" s="253">
        <f t="shared" si="10"/>
        <v>580</v>
      </c>
      <c r="AC236" s="254" t="str">
        <f>IF(COUNTIF(AD$78:AD236,AD236)=1,MAX(AC$78:AC235)+1,"")</f>
        <v/>
      </c>
      <c r="AD236" s="215">
        <f>'[2]Изложницы без бурта'!B236</f>
        <v>140</v>
      </c>
      <c r="AE236" s="215">
        <f>'[2]Изложницы без бурта'!C236</f>
        <v>315</v>
      </c>
      <c r="AF236" s="56">
        <f>'[2]Изложницы без бурта'!D236</f>
        <v>285</v>
      </c>
      <c r="AG236" s="56">
        <f>'[2]Изложницы без бурта'!E236</f>
        <v>320</v>
      </c>
      <c r="AH236" s="56" t="str">
        <f>'[2]Изложницы без бурта'!F236</f>
        <v>72.11871 - 1</v>
      </c>
      <c r="AI236" s="56">
        <f>'[2]Изложницы без бурта'!G236</f>
        <v>0</v>
      </c>
      <c r="AJ236" s="56">
        <f>'[2]Изложницы без бурта'!H236</f>
        <v>0</v>
      </c>
      <c r="AK236" s="56">
        <f>'[2]Изложницы без бурта'!I236</f>
        <v>0</v>
      </c>
      <c r="AL236" s="56" t="s">
        <v>587</v>
      </c>
      <c r="AM236" s="56">
        <f>'[2]Изложницы без бурта'!K236</f>
        <v>0</v>
      </c>
    </row>
    <row r="237" spans="1:39" ht="15.6" x14ac:dyDescent="0.3">
      <c r="M237" s="630" t="b">
        <f t="shared" ref="M237" si="12">$N$247&lt;=N237</f>
        <v>1</v>
      </c>
      <c r="N237" s="447">
        <f>IF(MAX(O235:O244)&lt;ROW(Втулка!5:5),"",VLOOKUP(ROW(Втулка!5:5),O235:P244,2))</f>
        <v>1500</v>
      </c>
      <c r="O237" s="447">
        <f>IF(COUNTIF(P$232:P237,P237)=1,MAX(O$232:O236)+1,"")</f>
        <v>5</v>
      </c>
      <c r="P237" s="447">
        <v>1500</v>
      </c>
      <c r="Q237" s="447">
        <v>1500</v>
      </c>
      <c r="R237" s="134">
        <v>70</v>
      </c>
      <c r="S237" s="447">
        <v>200</v>
      </c>
      <c r="T237" s="447">
        <v>300</v>
      </c>
      <c r="U237" s="634"/>
      <c r="AB237" s="253">
        <f t="shared" si="10"/>
        <v>585</v>
      </c>
      <c r="AC237" s="254" t="str">
        <f>IF(COUNTIF(AD$78:AD237,AD237)=1,MAX(AC$78:AC236)+1,"")</f>
        <v/>
      </c>
      <c r="AD237" s="215">
        <f>'[2]Изложницы без бурта'!B237</f>
        <v>140</v>
      </c>
      <c r="AE237" s="215">
        <f>'[2]Изложницы без бурта'!C237</f>
        <v>320</v>
      </c>
      <c r="AF237" s="56">
        <f>'[2]Изложницы без бурта'!D237</f>
        <v>285</v>
      </c>
      <c r="AG237" s="56">
        <f>'[2]Изложницы без бурта'!E237</f>
        <v>320</v>
      </c>
      <c r="AH237" s="56" t="str">
        <f>'[2]Изложницы без бурта'!F237</f>
        <v>72.11871 - 1</v>
      </c>
      <c r="AI237" s="56">
        <f>'[2]Изложницы без бурта'!G237</f>
        <v>0</v>
      </c>
      <c r="AJ237" s="56">
        <f>'[2]Изложницы без бурта'!H237</f>
        <v>0</v>
      </c>
      <c r="AK237" s="56">
        <f>'[2]Изложницы без бурта'!I237</f>
        <v>0</v>
      </c>
      <c r="AL237" s="56" t="s">
        <v>587</v>
      </c>
      <c r="AM237" s="56">
        <f>'[2]Изложницы без бурта'!K237</f>
        <v>0</v>
      </c>
    </row>
    <row r="238" spans="1:39" ht="15.6" x14ac:dyDescent="0.3">
      <c r="A238" s="56" t="s">
        <v>1020</v>
      </c>
      <c r="B238" s="324">
        <f>(Втулка!J29-Втулка!I29)/2</f>
        <v>119.5</v>
      </c>
      <c r="C238" s="324" t="s">
        <v>394</v>
      </c>
      <c r="D238" s="324">
        <f>VLOOKUP(TRUE,Данные!A242:I253,F238,FALSE)</f>
        <v>17</v>
      </c>
      <c r="E238" s="324" t="s">
        <v>944</v>
      </c>
      <c r="F238" s="324">
        <f>_xlfn.IFNA(HLOOKUP(TRUE,C240:H241,2,FALSE)+1,9)</f>
        <v>8</v>
      </c>
      <c r="G238" s="324"/>
      <c r="K238" s="324">
        <f>(Конусная!D28-Конусная!C28)/2</f>
        <v>0</v>
      </c>
      <c r="M238" s="630" t="b">
        <f>$N$247&lt;=N238</f>
        <v>1</v>
      </c>
      <c r="N238" s="447">
        <f>IF(MAX(O236:O244)&lt;ROW(Втулка!6:6),"",VLOOKUP(ROW(Втулка!6:6),O235:P244,2))</f>
        <v>1800</v>
      </c>
      <c r="O238" s="447">
        <f>IF(COUNTIF(P$232:P238,P238)=1,MAX(O$232:O237)+1,"")</f>
        <v>6</v>
      </c>
      <c r="P238" s="447">
        <v>1800</v>
      </c>
      <c r="Q238" s="447">
        <v>1800</v>
      </c>
      <c r="R238" s="134">
        <v>225</v>
      </c>
      <c r="S238" s="447">
        <v>225</v>
      </c>
      <c r="T238" s="447">
        <v>360</v>
      </c>
      <c r="U238" s="634"/>
      <c r="AB238" s="253">
        <f t="shared" si="10"/>
        <v>590</v>
      </c>
      <c r="AC238" s="254" t="str">
        <f>IF(COUNTIF(AD$78:AD238,AD238)=1,MAX(AC$78:AC237)+1,"")</f>
        <v/>
      </c>
      <c r="AD238" s="215">
        <f>'[2]Изложницы без бурта'!B238</f>
        <v>140</v>
      </c>
      <c r="AE238" s="215">
        <f>'[2]Изложницы без бурта'!C238</f>
        <v>263</v>
      </c>
      <c r="AF238" s="56">
        <f>'[2]Изложницы без бурта'!D238</f>
        <v>285</v>
      </c>
      <c r="AG238" s="56">
        <f>'[2]Изложницы без бурта'!E238</f>
        <v>320</v>
      </c>
      <c r="AH238" s="56" t="str">
        <f>'[2]Изложницы без бурта'!F238</f>
        <v>72.11870 - 1</v>
      </c>
      <c r="AI238" s="56">
        <f>'[2]Изложницы без бурта'!G238</f>
        <v>0</v>
      </c>
      <c r="AJ238" s="56">
        <f>'[2]Изложницы без бурта'!H238</f>
        <v>0</v>
      </c>
      <c r="AK238" s="56">
        <f>'[2]Изложницы без бурта'!I238</f>
        <v>0</v>
      </c>
      <c r="AL238" s="56" t="s">
        <v>587</v>
      </c>
      <c r="AM238" s="56">
        <f>'[2]Изложницы без бурта'!K238</f>
        <v>0</v>
      </c>
    </row>
    <row r="239" spans="1:39" ht="15.6" x14ac:dyDescent="0.3">
      <c r="B239" s="324"/>
      <c r="C239" s="324">
        <v>15</v>
      </c>
      <c r="D239" s="324">
        <v>30</v>
      </c>
      <c r="E239" s="324">
        <v>45</v>
      </c>
      <c r="F239" s="324">
        <v>75</v>
      </c>
      <c r="G239" s="324">
        <v>100</v>
      </c>
      <c r="H239" s="324">
        <v>300</v>
      </c>
      <c r="I239" s="56" t="s">
        <v>1069</v>
      </c>
      <c r="M239" s="630" t="b">
        <f>$N$247&lt;=N239</f>
        <v>1</v>
      </c>
      <c r="N239" s="447">
        <f>IF(MAX(O236:O244)&lt;ROW(Втулка!7:7),"",VLOOKUP(ROW(Втулка!7:7),O236:P244,2))</f>
        <v>2000</v>
      </c>
      <c r="O239" s="447" t="str">
        <f>IF(COUNTIF(P$232:P239,P239)=1,MAX(O$232:O238)+1,"")</f>
        <v/>
      </c>
      <c r="P239" s="447">
        <v>1800</v>
      </c>
      <c r="Q239" s="447">
        <v>1800</v>
      </c>
      <c r="R239" s="134">
        <v>340</v>
      </c>
      <c r="S239" s="447">
        <v>340</v>
      </c>
      <c r="T239" s="447">
        <v>300</v>
      </c>
      <c r="U239" s="634">
        <v>500</v>
      </c>
      <c r="AB239" s="253">
        <f t="shared" si="10"/>
        <v>592.5</v>
      </c>
      <c r="AC239" s="254" t="str">
        <f>IF(COUNTIF(AD$78:AD239,AD239)=1,MAX(AC$78:AC238)+1,"")</f>
        <v/>
      </c>
      <c r="AD239" s="215">
        <f>'[2]Изложницы без бурта'!B239</f>
        <v>140</v>
      </c>
      <c r="AE239" s="215">
        <f>'[2]Изложницы без бурта'!C239</f>
        <v>263</v>
      </c>
      <c r="AF239" s="56">
        <f>'[2]Изложницы без бурта'!D239</f>
        <v>285</v>
      </c>
      <c r="AG239" s="56">
        <f>'[2]Изложницы без бурта'!E239</f>
        <v>320</v>
      </c>
      <c r="AH239" s="56" t="str">
        <f>'[2]Изложницы без бурта'!F239</f>
        <v>72.11870 - 1</v>
      </c>
      <c r="AI239" s="56">
        <f>'[2]Изложницы без бурта'!G239</f>
        <v>0</v>
      </c>
      <c r="AJ239" s="56">
        <f>'[2]Изложницы без бурта'!H239</f>
        <v>0</v>
      </c>
      <c r="AK239" s="56">
        <f>'[2]Изложницы без бурта'!I239</f>
        <v>0</v>
      </c>
      <c r="AL239" s="56" t="s">
        <v>587</v>
      </c>
      <c r="AM239" s="56">
        <f>'[2]Изложницы без бурта'!K239</f>
        <v>0</v>
      </c>
    </row>
    <row r="240" spans="1:39" ht="15.6" x14ac:dyDescent="0.3">
      <c r="B240" s="311"/>
      <c r="C240" s="328" t="b">
        <f>$B238&lt;C239</f>
        <v>0</v>
      </c>
      <c r="D240" s="328" t="b">
        <f t="shared" ref="D240:H240" si="13">$B238&lt;D239</f>
        <v>0</v>
      </c>
      <c r="E240" s="328" t="b">
        <f t="shared" si="13"/>
        <v>0</v>
      </c>
      <c r="F240" s="328" t="b">
        <f t="shared" si="13"/>
        <v>0</v>
      </c>
      <c r="G240" s="328" t="b">
        <f t="shared" si="13"/>
        <v>0</v>
      </c>
      <c r="H240" s="328" t="b">
        <f t="shared" si="13"/>
        <v>1</v>
      </c>
      <c r="M240" s="630" t="b">
        <f>$N$247&lt;=N240</f>
        <v>1</v>
      </c>
      <c r="N240" s="447">
        <f>IF(MAX(O237:O244)&lt;ROW(Втулка!8:8),"",VLOOKUP(ROW(Втулка!8:8),O236:P244,2))</f>
        <v>2500</v>
      </c>
      <c r="O240" s="447">
        <f>IF(COUNTIF(P$232:P240,P240)=1,MAX(O$232:O239)+1,"")</f>
        <v>7</v>
      </c>
      <c r="P240" s="447">
        <v>2000</v>
      </c>
      <c r="Q240" s="447">
        <v>2500</v>
      </c>
      <c r="R240" s="134">
        <v>300</v>
      </c>
      <c r="S240" s="447">
        <v>300</v>
      </c>
      <c r="T240" s="447">
        <v>700</v>
      </c>
      <c r="U240" s="634">
        <v>500</v>
      </c>
      <c r="AB240" s="253">
        <f t="shared" si="10"/>
        <v>595</v>
      </c>
      <c r="AC240" s="254" t="str">
        <f>IF(COUNTIF(AD$78:AD240,AD240)=1,MAX(AC$78:AC239)+1,"")</f>
        <v/>
      </c>
      <c r="AD240" s="215">
        <f>'[2]Изложницы без бурта'!B240</f>
        <v>140</v>
      </c>
      <c r="AE240" s="215">
        <f>'[2]Изложницы без бурта'!C240</f>
        <v>320</v>
      </c>
      <c r="AF240" s="56">
        <f>'[2]Изложницы без бурта'!D240</f>
        <v>285</v>
      </c>
      <c r="AG240" s="56">
        <f>'[2]Изложницы без бурта'!E240</f>
        <v>320</v>
      </c>
      <c r="AH240" s="56" t="str">
        <f>'[2]Изложницы без бурта'!F240</f>
        <v>72.11871 - 1</v>
      </c>
      <c r="AI240" s="56">
        <f>'[2]Изложницы без бурта'!G240</f>
        <v>0</v>
      </c>
      <c r="AJ240" s="56">
        <f>'[2]Изложницы без бурта'!H240</f>
        <v>0</v>
      </c>
      <c r="AK240" s="56">
        <f>'[2]Изложницы без бурта'!I240</f>
        <v>0</v>
      </c>
      <c r="AL240" s="56" t="s">
        <v>587</v>
      </c>
      <c r="AM240" s="56">
        <f>'[2]Изложницы без бурта'!K240</f>
        <v>0</v>
      </c>
    </row>
    <row r="241" spans="1:39" ht="15.6" x14ac:dyDescent="0.3">
      <c r="B241" s="325">
        <v>1</v>
      </c>
      <c r="C241" s="325">
        <v>2</v>
      </c>
      <c r="D241" s="325">
        <v>3</v>
      </c>
      <c r="E241" s="325">
        <v>4</v>
      </c>
      <c r="F241" s="325">
        <v>5</v>
      </c>
      <c r="G241" s="325">
        <v>6</v>
      </c>
      <c r="H241" s="325">
        <v>7</v>
      </c>
      <c r="I241" s="56">
        <v>0</v>
      </c>
      <c r="M241" s="630" t="b">
        <f>$N$247&lt;=N241</f>
        <v>1</v>
      </c>
      <c r="N241" s="447">
        <f>IF(MAX(O237:O244)&lt;ROW(Втулка!9:9),"",VLOOKUP(ROW(Втулка!9:9),O237:P244,2))</f>
        <v>3500</v>
      </c>
      <c r="O241" s="447">
        <f>IF(COUNTIF(P$232:P241,P241)=1,MAX(O$232:O240)+1,"")</f>
        <v>8</v>
      </c>
      <c r="P241" s="447">
        <v>2500</v>
      </c>
      <c r="Q241" s="447">
        <v>2500</v>
      </c>
      <c r="R241" s="134">
        <v>320</v>
      </c>
      <c r="S241" s="447">
        <v>320</v>
      </c>
      <c r="T241" s="447">
        <v>700</v>
      </c>
      <c r="U241" s="634">
        <v>380</v>
      </c>
      <c r="AB241" s="253">
        <f t="shared" si="10"/>
        <v>597.5</v>
      </c>
      <c r="AC241" s="254" t="str">
        <f>IF(COUNTIF(AD$78:AD241,AD241)=1,MAX(AC$78:AC240)+1,"")</f>
        <v/>
      </c>
      <c r="AD241" s="215">
        <f>'[2]Изложницы без бурта'!B241</f>
        <v>140</v>
      </c>
      <c r="AE241" s="215">
        <f>'[2]Изложницы без бурта'!C241</f>
        <v>262</v>
      </c>
      <c r="AF241" s="56">
        <f>'[2]Изложницы без бурта'!D241</f>
        <v>285</v>
      </c>
      <c r="AG241" s="56">
        <f>'[2]Изложницы без бурта'!E241</f>
        <v>320</v>
      </c>
      <c r="AH241" s="56" t="str">
        <f>'[2]Изложницы без бурта'!F241</f>
        <v>72.11870 - 1</v>
      </c>
      <c r="AI241" s="56">
        <f>'[2]Изложницы без бурта'!G241</f>
        <v>0</v>
      </c>
      <c r="AJ241" s="56">
        <f>'[2]Изложницы без бурта'!H241</f>
        <v>0</v>
      </c>
      <c r="AK241" s="56">
        <f>'[2]Изложницы без бурта'!I241</f>
        <v>0</v>
      </c>
      <c r="AL241" s="56" t="s">
        <v>587</v>
      </c>
      <c r="AM241" s="56">
        <f>'[2]Изложницы без бурта'!K241</f>
        <v>0</v>
      </c>
    </row>
    <row r="242" spans="1:39" ht="15.6" x14ac:dyDescent="0.3">
      <c r="A242" s="56" t="b">
        <f>Втулка!N$15&lt;=Данные!B242</f>
        <v>0</v>
      </c>
      <c r="B242" s="325">
        <v>100</v>
      </c>
      <c r="C242" s="325">
        <v>6</v>
      </c>
      <c r="D242" s="325">
        <v>8</v>
      </c>
      <c r="E242" s="325">
        <v>10</v>
      </c>
      <c r="F242" s="325">
        <v>12</v>
      </c>
      <c r="G242" s="325">
        <v>12</v>
      </c>
      <c r="H242" s="325">
        <v>14</v>
      </c>
      <c r="I242" s="56">
        <v>0</v>
      </c>
      <c r="M242" s="630" t="b">
        <f>$N$247&lt;=N242</f>
        <v>1</v>
      </c>
      <c r="N242" s="447" t="str">
        <f>IF(MAX(O237:O244)&lt;ROW(Втулка!10:10),"",VLOOKUP(ROW(Втулка!10:10),O237:P244,2))</f>
        <v/>
      </c>
      <c r="O242" s="447">
        <f>IF(COUNTIF(P$232:P242,P242)=1,MAX(O$232:O241)+1,"")</f>
        <v>9</v>
      </c>
      <c r="P242" s="447">
        <v>3500</v>
      </c>
      <c r="Q242" s="447">
        <v>2500</v>
      </c>
      <c r="R242" s="134">
        <v>500</v>
      </c>
      <c r="S242" s="447">
        <v>500</v>
      </c>
      <c r="T242" s="447"/>
      <c r="U242" s="634"/>
      <c r="AB242" s="253">
        <f t="shared" si="10"/>
        <v>600</v>
      </c>
      <c r="AC242" s="254" t="str">
        <f>IF(COUNTIF(AD$78:AD242,AD242)=1,MAX(AC$78:AC241)+1,"")</f>
        <v/>
      </c>
      <c r="AD242" s="215">
        <f>'[2]Изложницы без бурта'!B242</f>
        <v>140</v>
      </c>
      <c r="AE242" s="215">
        <f>'[2]Изложницы без бурта'!C242</f>
        <v>320</v>
      </c>
      <c r="AF242" s="56">
        <f>'[2]Изложницы без бурта'!D242</f>
        <v>285</v>
      </c>
      <c r="AG242" s="56">
        <f>'[2]Изложницы без бурта'!E242</f>
        <v>320</v>
      </c>
      <c r="AH242" s="56" t="str">
        <f>'[2]Изложницы без бурта'!F242</f>
        <v>72.11871 - 1</v>
      </c>
      <c r="AI242" s="56">
        <f>'[2]Изложницы без бурта'!G242</f>
        <v>0</v>
      </c>
      <c r="AJ242" s="56">
        <f>'[2]Изложницы без бурта'!H242</f>
        <v>0</v>
      </c>
      <c r="AK242" s="56">
        <f>'[2]Изложницы без бурта'!I242</f>
        <v>0</v>
      </c>
      <c r="AL242" s="56" t="s">
        <v>587</v>
      </c>
      <c r="AM242" s="56">
        <f>'[2]Изложницы без бурта'!K242</f>
        <v>0</v>
      </c>
    </row>
    <row r="243" spans="1:39" ht="15.6" x14ac:dyDescent="0.3">
      <c r="A243" s="56" t="b">
        <f>Втулка!N$15&lt;=Данные!B243</f>
        <v>0</v>
      </c>
      <c r="B243" s="325">
        <v>150</v>
      </c>
      <c r="C243" s="325">
        <v>6</v>
      </c>
      <c r="D243" s="325">
        <v>8</v>
      </c>
      <c r="E243" s="325">
        <v>10</v>
      </c>
      <c r="F243" s="325">
        <v>12</v>
      </c>
      <c r="G243" s="325">
        <v>12</v>
      </c>
      <c r="H243" s="325">
        <v>14</v>
      </c>
      <c r="I243" s="56">
        <v>0</v>
      </c>
      <c r="M243" s="630"/>
      <c r="N243" s="447" t="str">
        <f>IF(MAX(O237:O244)&lt;ROW(Втулка!11:11),"",VLOOKUP(ROW(Втулка!11:11),O237:P244,2))</f>
        <v/>
      </c>
      <c r="O243" s="447"/>
      <c r="P243" s="447"/>
      <c r="Q243" s="447"/>
      <c r="R243" s="134"/>
      <c r="S243" s="447"/>
      <c r="T243" s="447"/>
      <c r="U243" s="634"/>
      <c r="AB243" s="253">
        <f t="shared" si="10"/>
        <v>610</v>
      </c>
      <c r="AC243" s="254" t="str">
        <f>IF(COUNTIF(AD$78:AD243,AD243)=1,MAX(AC$78:AC242)+1,"")</f>
        <v/>
      </c>
      <c r="AD243" s="215">
        <f>'[2]Изложницы без бурта'!B243</f>
        <v>140</v>
      </c>
      <c r="AE243" s="215">
        <f>'[2]Изложницы без бурта'!C243</f>
        <v>320</v>
      </c>
      <c r="AF243" s="56">
        <f>'[2]Изложницы без бурта'!D243</f>
        <v>285</v>
      </c>
      <c r="AG243" s="56">
        <f>'[2]Изложницы без бурта'!E243</f>
        <v>320</v>
      </c>
      <c r="AH243" s="56" t="str">
        <f>'[2]Изложницы без бурта'!F243</f>
        <v>72.11871 - 1</v>
      </c>
      <c r="AI243" s="56">
        <f>'[2]Изложницы без бурта'!G243</f>
        <v>0</v>
      </c>
      <c r="AJ243" s="56">
        <f>'[2]Изложницы без бурта'!H243</f>
        <v>0</v>
      </c>
      <c r="AK243" s="56">
        <f>'[2]Изложницы без бурта'!I243</f>
        <v>0</v>
      </c>
      <c r="AL243" s="56" t="s">
        <v>587</v>
      </c>
      <c r="AM243" s="56">
        <f>'[2]Изложницы без бурта'!K243</f>
        <v>0</v>
      </c>
    </row>
    <row r="244" spans="1:39" ht="15.6" x14ac:dyDescent="0.3">
      <c r="A244" s="56" t="b">
        <f>Втулка!N$15&lt;=Данные!B244</f>
        <v>0</v>
      </c>
      <c r="B244" s="325">
        <v>200</v>
      </c>
      <c r="C244" s="325">
        <v>6</v>
      </c>
      <c r="D244" s="325">
        <v>8</v>
      </c>
      <c r="E244" s="325">
        <v>10</v>
      </c>
      <c r="F244" s="325">
        <v>12</v>
      </c>
      <c r="G244" s="325">
        <v>12</v>
      </c>
      <c r="H244" s="325">
        <v>14</v>
      </c>
      <c r="I244" s="56">
        <v>0</v>
      </c>
      <c r="M244" s="630" t="s">
        <v>1276</v>
      </c>
      <c r="N244" s="447"/>
      <c r="O244" s="447"/>
      <c r="P244" s="447">
        <v>1400</v>
      </c>
      <c r="Q244" s="447">
        <v>2000</v>
      </c>
      <c r="R244" s="447">
        <v>330</v>
      </c>
      <c r="S244" s="447">
        <v>500</v>
      </c>
      <c r="T244" s="447"/>
      <c r="U244" s="634"/>
      <c r="AB244" s="253">
        <f t="shared" si="10"/>
        <v>620</v>
      </c>
      <c r="AC244" s="254" t="str">
        <f>IF(COUNTIF(AD$78:AD244,AD244)=1,MAX(AC$78:AC243)+1,"")</f>
        <v/>
      </c>
      <c r="AD244" s="215">
        <f>'[2]Изложницы без бурта'!B244</f>
        <v>140</v>
      </c>
      <c r="AE244" s="215">
        <f>'[2]Изложницы без бурта'!C244</f>
        <v>260</v>
      </c>
      <c r="AF244" s="56">
        <f>'[2]Изложницы без бурта'!D244</f>
        <v>285</v>
      </c>
      <c r="AG244" s="56">
        <f>'[2]Изложницы без бурта'!E244</f>
        <v>320</v>
      </c>
      <c r="AH244" s="56" t="str">
        <f>'[2]Изложницы без бурта'!F244</f>
        <v>72.11870 - 1</v>
      </c>
      <c r="AI244" s="56">
        <f>'[2]Изложницы без бурта'!G244</f>
        <v>0</v>
      </c>
      <c r="AJ244" s="56">
        <f>'[2]Изложницы без бурта'!H244</f>
        <v>0</v>
      </c>
      <c r="AK244" s="56">
        <f>'[2]Изложницы без бурта'!I244</f>
        <v>0</v>
      </c>
      <c r="AL244" s="56" t="s">
        <v>587</v>
      </c>
      <c r="AM244" s="56">
        <f>'[2]Изложницы без бурта'!K244</f>
        <v>0</v>
      </c>
    </row>
    <row r="245" spans="1:39" ht="16.2" thickBot="1" x14ac:dyDescent="0.35">
      <c r="A245" s="56" t="b">
        <f>Втулка!N$15&lt;=Данные!B245</f>
        <v>0</v>
      </c>
      <c r="B245" s="325">
        <v>250</v>
      </c>
      <c r="C245" s="325">
        <v>6</v>
      </c>
      <c r="D245" s="325">
        <v>8</v>
      </c>
      <c r="E245" s="325">
        <v>10</v>
      </c>
      <c r="F245" s="325">
        <v>12</v>
      </c>
      <c r="G245" s="325">
        <v>12</v>
      </c>
      <c r="H245" s="325">
        <v>14</v>
      </c>
      <c r="I245" s="56">
        <v>0</v>
      </c>
      <c r="M245" s="223"/>
      <c r="N245" s="134"/>
      <c r="O245" s="134"/>
      <c r="P245" s="134"/>
      <c r="Q245" s="134"/>
      <c r="R245" s="447"/>
      <c r="S245" s="447"/>
      <c r="T245" s="447"/>
      <c r="U245" s="634"/>
      <c r="AB245" s="253">
        <f t="shared" si="10"/>
        <v>622.5</v>
      </c>
      <c r="AC245" s="254" t="str">
        <f>IF(COUNTIF(AD$78:AD245,AD245)=1,MAX(AC$78:AC244)+1,"")</f>
        <v/>
      </c>
      <c r="AD245" s="215">
        <f>'[2]Изложницы без бурта'!B245</f>
        <v>140</v>
      </c>
      <c r="AE245" s="215">
        <f>'[2]Изложницы без бурта'!C245</f>
        <v>265</v>
      </c>
      <c r="AF245" s="56">
        <f>'[2]Изложницы без бурта'!D245</f>
        <v>285</v>
      </c>
      <c r="AG245" s="56">
        <f>'[2]Изложницы без бурта'!E245</f>
        <v>320</v>
      </c>
      <c r="AH245" s="56" t="str">
        <f>'[2]Изложницы без бурта'!F245</f>
        <v>72.11870 - 1</v>
      </c>
      <c r="AI245" s="56">
        <f>'[2]Изложницы без бурта'!G245</f>
        <v>0</v>
      </c>
      <c r="AJ245" s="56">
        <f>'[2]Изложницы без бурта'!H245</f>
        <v>0</v>
      </c>
      <c r="AK245" s="56">
        <f>'[2]Изложницы без бурта'!I245</f>
        <v>0</v>
      </c>
      <c r="AL245" s="56" t="s">
        <v>587</v>
      </c>
      <c r="AM245" s="56">
        <f>'[2]Изложницы без бурта'!K245</f>
        <v>0</v>
      </c>
    </row>
    <row r="246" spans="1:39" ht="15.6" x14ac:dyDescent="0.3">
      <c r="A246" s="56" t="b">
        <f>Втулка!N$15&lt;=Данные!B246</f>
        <v>0</v>
      </c>
      <c r="B246" s="325">
        <v>300</v>
      </c>
      <c r="C246" s="325">
        <v>6</v>
      </c>
      <c r="D246" s="325">
        <v>8</v>
      </c>
      <c r="E246" s="325">
        <v>10</v>
      </c>
      <c r="F246" s="325">
        <v>12</v>
      </c>
      <c r="G246" s="325">
        <v>14</v>
      </c>
      <c r="H246" s="325">
        <v>14</v>
      </c>
      <c r="I246" s="56">
        <v>0</v>
      </c>
      <c r="M246" s="1488" t="s">
        <v>1238</v>
      </c>
      <c r="N246" s="1489">
        <f>IF(Данные!$F$33=TRUE,Втулка!J29/0.985+80,Втулка!J29/0.985)</f>
        <v>729.94923857868025</v>
      </c>
      <c r="O246" s="631"/>
      <c r="P246" s="638"/>
      <c r="Q246" s="1488" t="s">
        <v>1238</v>
      </c>
      <c r="R246" s="1489">
        <f>IF(Данные!$F$33=TRUE,'Втулка с буртом'!M3+80,'Втулка с буртом'!M3)</f>
        <v>628</v>
      </c>
      <c r="S246" s="631"/>
      <c r="T246" s="631"/>
      <c r="U246" s="638"/>
      <c r="AB246" s="253">
        <f t="shared" si="10"/>
        <v>625</v>
      </c>
      <c r="AC246" s="254" t="str">
        <f>IF(COUNTIF(AD$78:AD246,AD246)=1,MAX(AC$78:AC245)+1,"")</f>
        <v/>
      </c>
      <c r="AD246" s="215">
        <f>'[2]Изложницы без бурта'!B246</f>
        <v>140</v>
      </c>
      <c r="AE246" s="215">
        <f>'[2]Изложницы без бурта'!C246</f>
        <v>263</v>
      </c>
      <c r="AF246" s="56">
        <f>'[2]Изложницы без бурта'!D246</f>
        <v>285</v>
      </c>
      <c r="AG246" s="56">
        <f>'[2]Изложницы без бурта'!E246</f>
        <v>320</v>
      </c>
      <c r="AH246" s="56" t="str">
        <f>'[2]Изложницы без бурта'!F246</f>
        <v>72.11870 - 1</v>
      </c>
      <c r="AI246" s="56">
        <f>'[2]Изложницы без бурта'!G246</f>
        <v>0</v>
      </c>
      <c r="AJ246" s="56">
        <f>'[2]Изложницы без бурта'!H246</f>
        <v>0</v>
      </c>
      <c r="AK246" s="56">
        <f>'[2]Изложницы без бурта'!I246</f>
        <v>0</v>
      </c>
      <c r="AL246" s="56" t="s">
        <v>587</v>
      </c>
      <c r="AM246" s="56">
        <f>'[2]Изложницы без бурта'!K246</f>
        <v>0</v>
      </c>
    </row>
    <row r="247" spans="1:39" ht="15.6" x14ac:dyDescent="0.3">
      <c r="A247" s="56" t="b">
        <f>Втулка!N$15&lt;=Данные!B247</f>
        <v>0</v>
      </c>
      <c r="B247" s="325">
        <v>350</v>
      </c>
      <c r="C247" s="325">
        <v>6</v>
      </c>
      <c r="D247" s="325">
        <v>8</v>
      </c>
      <c r="E247" s="325">
        <v>10</v>
      </c>
      <c r="F247" s="325">
        <v>12</v>
      </c>
      <c r="G247" s="325">
        <v>14</v>
      </c>
      <c r="H247" s="325">
        <v>14</v>
      </c>
      <c r="I247" s="56">
        <v>0</v>
      </c>
      <c r="M247" s="1460" t="s">
        <v>1230</v>
      </c>
      <c r="N247" s="1452">
        <f>ROUNDUP((N246+200)/100,0)*100</f>
        <v>1000</v>
      </c>
      <c r="O247" s="447"/>
      <c r="P247" s="634"/>
      <c r="Q247" s="1460" t="s">
        <v>1230</v>
      </c>
      <c r="R247" s="1452">
        <f>ROUNDUP((R246+200)/100,0)*100</f>
        <v>900</v>
      </c>
      <c r="S247" s="447"/>
      <c r="T247" s="447"/>
      <c r="U247" s="634"/>
      <c r="AB247" s="253">
        <f t="shared" si="10"/>
        <v>627.5</v>
      </c>
      <c r="AC247" s="254" t="str">
        <f>IF(COUNTIF(AD$78:AD247,AD247)=1,MAX(AC$78:AC246)+1,"")</f>
        <v/>
      </c>
      <c r="AD247" s="215">
        <f>'[2]Изложницы без бурта'!B247</f>
        <v>140</v>
      </c>
      <c r="AE247" s="215">
        <f>'[2]Изложницы без бурта'!C247</f>
        <v>265</v>
      </c>
      <c r="AF247" s="56">
        <f>'[2]Изложницы без бурта'!D247</f>
        <v>285</v>
      </c>
      <c r="AG247" s="56">
        <f>'[2]Изложницы без бурта'!E247</f>
        <v>320</v>
      </c>
      <c r="AH247" s="56" t="str">
        <f>'[2]Изложницы без бурта'!F247</f>
        <v>72.11870 - 1</v>
      </c>
      <c r="AI247" s="56">
        <f>'[2]Изложницы без бурта'!G247</f>
        <v>0</v>
      </c>
      <c r="AJ247" s="56">
        <f>'[2]Изложницы без бурта'!H247</f>
        <v>0</v>
      </c>
      <c r="AK247" s="56">
        <f>'[2]Изложницы без бурта'!I247</f>
        <v>0</v>
      </c>
      <c r="AL247" s="56" t="s">
        <v>587</v>
      </c>
      <c r="AM247" s="56">
        <f>'[2]Изложницы без бурта'!K247</f>
        <v>0</v>
      </c>
    </row>
    <row r="248" spans="1:39" ht="15.6" x14ac:dyDescent="0.3">
      <c r="A248" s="56" t="b">
        <f>Втулка!N$15&lt;=Данные!B248</f>
        <v>0</v>
      </c>
      <c r="B248" s="325">
        <v>400</v>
      </c>
      <c r="C248" s="325">
        <v>6</v>
      </c>
      <c r="D248" s="325">
        <v>10</v>
      </c>
      <c r="E248" s="325">
        <v>10</v>
      </c>
      <c r="F248" s="325">
        <v>12</v>
      </c>
      <c r="G248" s="325">
        <v>14</v>
      </c>
      <c r="H248" s="325">
        <v>14</v>
      </c>
      <c r="I248" s="56">
        <v>0</v>
      </c>
      <c r="M248" s="1459" t="s">
        <v>1231</v>
      </c>
      <c r="N248" s="1453">
        <f>VLOOKUP(TRUE,M233:N242,2,0)</f>
        <v>1000</v>
      </c>
      <c r="O248" s="1453">
        <f>VLOOKUP(N248,P233:U242,2,0)</f>
        <v>1000</v>
      </c>
      <c r="P248" s="1490">
        <f>VLOOKUP(N248,P233:U242,IF(Втулка!H27&lt;120,3,4),0)</f>
        <v>200</v>
      </c>
      <c r="Q248" s="1459" t="s">
        <v>1231</v>
      </c>
      <c r="R248" s="1453">
        <f>VLOOKUP(TRUE,M233:N242,2,0)</f>
        <v>1000</v>
      </c>
      <c r="S248" s="1453">
        <f>VLOOKUP(R248,P233:U242,2,0)</f>
        <v>1000</v>
      </c>
      <c r="T248" s="1451">
        <f>VLOOKUP(R248,P233:U242,IF('Втулка с буртом'!H25&lt;120,3,5),0)</f>
        <v>350</v>
      </c>
      <c r="U248" s="634"/>
      <c r="AB248" s="253">
        <f t="shared" si="10"/>
        <v>630</v>
      </c>
      <c r="AC248" s="254" t="str">
        <f>IF(COUNTIF(AD$78:AD248,AD248)=1,MAX(AC$78:AC247)+1,"")</f>
        <v/>
      </c>
      <c r="AD248" s="215">
        <f>'[2]Изложницы без бурта'!B248</f>
        <v>140</v>
      </c>
      <c r="AE248" s="215">
        <f>'[2]Изложницы без бурта'!C248</f>
        <v>265</v>
      </c>
      <c r="AF248" s="56">
        <f>'[2]Изложницы без бурта'!D248</f>
        <v>285</v>
      </c>
      <c r="AG248" s="56">
        <f>'[2]Изложницы без бурта'!E248</f>
        <v>320</v>
      </c>
      <c r="AH248" s="56" t="str">
        <f>'[2]Изложницы без бурта'!F248</f>
        <v>72.11870 - 1</v>
      </c>
      <c r="AI248" s="56">
        <f>'[2]Изложницы без бурта'!G248</f>
        <v>0</v>
      </c>
      <c r="AJ248" s="56">
        <f>'[2]Изложницы без бурта'!H248</f>
        <v>0</v>
      </c>
      <c r="AK248" s="56">
        <f>'[2]Изложницы без бурта'!I248</f>
        <v>0</v>
      </c>
      <c r="AL248" s="56" t="s">
        <v>587</v>
      </c>
      <c r="AM248" s="56">
        <f>'[2]Изложницы без бурта'!K248</f>
        <v>0</v>
      </c>
    </row>
    <row r="249" spans="1:39" ht="16.2" thickBot="1" x14ac:dyDescent="0.35">
      <c r="A249" s="56" t="b">
        <f>Втулка!N$15&lt;=Данные!B249</f>
        <v>0</v>
      </c>
      <c r="B249" s="325">
        <v>600</v>
      </c>
      <c r="C249" s="325">
        <v>10</v>
      </c>
      <c r="D249" s="325">
        <v>10</v>
      </c>
      <c r="E249" s="325">
        <v>12</v>
      </c>
      <c r="F249" s="325">
        <v>14</v>
      </c>
      <c r="G249" s="325">
        <v>14</v>
      </c>
      <c r="H249" s="325">
        <v>14</v>
      </c>
      <c r="I249" s="56">
        <v>0</v>
      </c>
      <c r="M249" s="1460" t="s">
        <v>1234</v>
      </c>
      <c r="N249" s="1452">
        <f>ROUNDUP(Втулка!F23+15+Втулка!D23/0.985,0)</f>
        <v>517</v>
      </c>
      <c r="O249" s="447"/>
      <c r="P249" s="634"/>
      <c r="Q249" s="1460" t="s">
        <v>1234</v>
      </c>
      <c r="R249" s="1452">
        <f>ROUNDUP('Втулка с буртом'!E21+'Втулка с буртом'!C21/0.985,0)</f>
        <v>1245</v>
      </c>
      <c r="S249" s="447"/>
      <c r="T249" s="447"/>
      <c r="U249" s="634"/>
      <c r="AB249" s="253">
        <f t="shared" si="10"/>
        <v>635</v>
      </c>
      <c r="AC249" s="254" t="str">
        <f>IF(COUNTIF(AD$78:AD249,AD249)=1,MAX(AC$78:AC248)+1,"")</f>
        <v/>
      </c>
      <c r="AD249" s="215">
        <f>'[2]Изложницы без бурта'!B249</f>
        <v>140</v>
      </c>
      <c r="AE249" s="215">
        <f>'[2]Изложницы без бурта'!C249</f>
        <v>378</v>
      </c>
      <c r="AF249" s="56">
        <f>'[2]Изложницы без бурта'!D249</f>
        <v>285</v>
      </c>
      <c r="AG249" s="56">
        <f>'[2]Изложницы без бурта'!E249</f>
        <v>320</v>
      </c>
      <c r="AH249" s="56" t="str">
        <f>'[2]Изложницы без бурта'!F249</f>
        <v>72.42461 - 1</v>
      </c>
      <c r="AI249" s="56">
        <f>'[2]Изложницы без бурта'!G249</f>
        <v>0</v>
      </c>
      <c r="AJ249" s="56">
        <f>'[2]Изложницы без бурта'!H249</f>
        <v>0</v>
      </c>
      <c r="AK249" s="56">
        <f>'[2]Изложницы без бурта'!I249</f>
        <v>0</v>
      </c>
      <c r="AL249" s="56" t="s">
        <v>587</v>
      </c>
      <c r="AM249" s="56">
        <f>'[2]Изложницы без бурта'!K249</f>
        <v>0</v>
      </c>
    </row>
    <row r="250" spans="1:39" ht="16.2" thickBot="1" x14ac:dyDescent="0.35">
      <c r="A250" s="56" t="b">
        <f>Втулка!N$15&lt;=Данные!B250</f>
        <v>1</v>
      </c>
      <c r="B250" s="326">
        <v>800</v>
      </c>
      <c r="C250" s="326">
        <v>12</v>
      </c>
      <c r="D250" s="326">
        <v>12</v>
      </c>
      <c r="E250" s="326">
        <v>15</v>
      </c>
      <c r="F250" s="326">
        <v>17</v>
      </c>
      <c r="G250" s="326">
        <v>17</v>
      </c>
      <c r="H250" s="326">
        <v>17</v>
      </c>
      <c r="I250" s="56">
        <v>0</v>
      </c>
      <c r="M250" s="637" t="s">
        <v>1239</v>
      </c>
      <c r="N250" s="631">
        <f>VLOOKUP(N248,P233:U242,4,0)</f>
        <v>200</v>
      </c>
      <c r="O250" s="631">
        <f>VLOOKUP(N248,P233:U242,5,0)</f>
        <v>350</v>
      </c>
      <c r="P250" s="638">
        <f>VLOOKUP(N248,P233:U242,6,0)</f>
        <v>0</v>
      </c>
      <c r="Q250" s="637" t="s">
        <v>1239</v>
      </c>
      <c r="R250" s="631">
        <f>VLOOKUP(R248,P233:U242,4,0)</f>
        <v>200</v>
      </c>
      <c r="S250" s="631">
        <f>VLOOKUP(R248,P233:U242,5,0)</f>
        <v>350</v>
      </c>
      <c r="T250" s="638">
        <f>VLOOKUP(R248,P233:U242,6,0)</f>
        <v>0</v>
      </c>
      <c r="U250" s="634"/>
      <c r="AB250" s="253">
        <f t="shared" si="10"/>
        <v>637.5</v>
      </c>
      <c r="AC250" s="254">
        <f>IF(COUNTIF(AD$78:AD250,AD250)=1,MAX(AC$78:AC249)+1,"")</f>
        <v>23</v>
      </c>
      <c r="AD250" s="215">
        <f>'[2]Изложницы без бурта'!B250</f>
        <v>142.5</v>
      </c>
      <c r="AE250" s="215">
        <f>'[2]Изложницы без бурта'!C250</f>
        <v>320</v>
      </c>
      <c r="AF250" s="56">
        <f>'[2]Изложницы без бурта'!D250</f>
        <v>285</v>
      </c>
      <c r="AG250" s="56">
        <f>'[2]Изложницы без бурта'!E250</f>
        <v>320</v>
      </c>
      <c r="AH250" s="56" t="str">
        <f>'[2]Изложницы без бурта'!F250</f>
        <v>72.11871 - 2</v>
      </c>
      <c r="AI250" s="56">
        <f>'[2]Изложницы без бурта'!G250</f>
        <v>0</v>
      </c>
      <c r="AJ250" s="56">
        <f>'[2]Изложницы без бурта'!H250</f>
        <v>0</v>
      </c>
      <c r="AK250" s="56">
        <f>'[2]Изложницы без бурта'!I250</f>
        <v>0</v>
      </c>
      <c r="AL250" s="56" t="s">
        <v>588</v>
      </c>
      <c r="AM250" s="56">
        <f>'[2]Изложницы без бурта'!K250</f>
        <v>0</v>
      </c>
    </row>
    <row r="251" spans="1:39" ht="15.6" x14ac:dyDescent="0.3">
      <c r="A251" s="56" t="b">
        <f>Втулка!N$15&lt;=Данные!B251</f>
        <v>1</v>
      </c>
      <c r="B251" s="326">
        <v>1200</v>
      </c>
      <c r="C251" s="326">
        <v>16</v>
      </c>
      <c r="D251" s="326">
        <v>16</v>
      </c>
      <c r="E251" s="326">
        <v>18</v>
      </c>
      <c r="F251" s="326">
        <v>20</v>
      </c>
      <c r="G251" s="326">
        <v>20</v>
      </c>
      <c r="H251" s="326">
        <v>20</v>
      </c>
      <c r="I251" s="56">
        <v>0</v>
      </c>
      <c r="M251" s="630"/>
      <c r="N251" s="637">
        <f>LARGE(N250:P250,1)</f>
        <v>350</v>
      </c>
      <c r="O251" s="631">
        <f>QUOTIENT(N249,LARGE(N250:P250,1))</f>
        <v>1</v>
      </c>
      <c r="P251" s="1454">
        <f>N249-N251*O251</f>
        <v>167</v>
      </c>
      <c r="Q251" s="630"/>
      <c r="R251" s="637">
        <f>LARGE(R250:T250,1)</f>
        <v>350</v>
      </c>
      <c r="S251" s="631">
        <f>QUOTIENT(R249,LARGE(R250:T250,1))</f>
        <v>3</v>
      </c>
      <c r="T251" s="1454">
        <f>R249-R251*S251</f>
        <v>195</v>
      </c>
      <c r="U251" s="634"/>
      <c r="AB251" s="253">
        <f t="shared" si="10"/>
        <v>642.5</v>
      </c>
      <c r="AC251" s="254" t="str">
        <f>IF(COUNTIF(AD$78:AD251,AD251)=1,MAX(AC$78:AC250)+1,"")</f>
        <v/>
      </c>
      <c r="AD251" s="215">
        <f>'[2]Изложницы без бурта'!B251</f>
        <v>142.5</v>
      </c>
      <c r="AE251" s="215">
        <f>'[2]Изложницы без бурта'!C251</f>
        <v>317</v>
      </c>
      <c r="AF251" s="56">
        <f>'[2]Изложницы без бурта'!D251</f>
        <v>285</v>
      </c>
      <c r="AG251" s="56">
        <f>'[2]Изложницы без бурта'!E251</f>
        <v>320</v>
      </c>
      <c r="AH251" s="56" t="str">
        <f>'[2]Изложницы без бурта'!F251</f>
        <v>72.11871 - 2</v>
      </c>
      <c r="AI251" s="56">
        <f>'[2]Изложницы без бурта'!G251</f>
        <v>0</v>
      </c>
      <c r="AJ251" s="56">
        <f>'[2]Изложницы без бурта'!H251</f>
        <v>0</v>
      </c>
      <c r="AK251" s="56">
        <f>'[2]Изложницы без бурта'!I251</f>
        <v>0</v>
      </c>
      <c r="AL251" s="56" t="s">
        <v>588</v>
      </c>
      <c r="AM251" s="56">
        <f>'[2]Изложницы без бурта'!K251</f>
        <v>0</v>
      </c>
    </row>
    <row r="252" spans="1:39" ht="15.6" x14ac:dyDescent="0.3">
      <c r="A252" s="56" t="b">
        <f>Втулка!N$15&lt;=Данные!B252</f>
        <v>1</v>
      </c>
      <c r="B252" s="325">
        <v>1500</v>
      </c>
      <c r="C252" s="325">
        <v>20</v>
      </c>
      <c r="D252" s="325">
        <v>20</v>
      </c>
      <c r="E252" s="325">
        <v>25</v>
      </c>
      <c r="F252" s="325">
        <v>25</v>
      </c>
      <c r="G252" s="325">
        <v>25</v>
      </c>
      <c r="H252" s="325">
        <v>25</v>
      </c>
      <c r="I252" s="56">
        <v>0</v>
      </c>
      <c r="M252" s="630"/>
      <c r="N252" s="630">
        <f>LARGE(N250:P250,2)</f>
        <v>200</v>
      </c>
      <c r="O252" s="447">
        <f>IF(P252=1,1,0)</f>
        <v>1</v>
      </c>
      <c r="P252" s="634">
        <f>IF(P251&gt;40,1,0)</f>
        <v>1</v>
      </c>
      <c r="Q252" s="630"/>
      <c r="R252" s="630">
        <f>LARGE(R250:T250,2)</f>
        <v>200</v>
      </c>
      <c r="S252" s="447">
        <f>IF(T252=1,1,0)</f>
        <v>1</v>
      </c>
      <c r="T252" s="634">
        <f>IF(T251&gt;40,1,0)</f>
        <v>1</v>
      </c>
      <c r="U252" s="634"/>
      <c r="AB252" s="253">
        <f t="shared" si="10"/>
        <v>650</v>
      </c>
      <c r="AC252" s="254" t="str">
        <f>IF(COUNTIF(AD$78:AD252,AD252)=1,MAX(AC$78:AC251)+1,"")</f>
        <v/>
      </c>
      <c r="AD252" s="215">
        <f>'[2]Изложницы без бурта'!B252</f>
        <v>142.5</v>
      </c>
      <c r="AE252" s="215">
        <f>'[2]Изложницы без бурта'!C252</f>
        <v>265</v>
      </c>
      <c r="AF252" s="56">
        <f>'[2]Изложницы без бурта'!D252</f>
        <v>285</v>
      </c>
      <c r="AG252" s="56">
        <f>'[2]Изложницы без бурта'!E252</f>
        <v>320</v>
      </c>
      <c r="AH252" s="56" t="str">
        <f>'[2]Изложницы без бурта'!F252</f>
        <v>72.11870 - 2</v>
      </c>
      <c r="AI252" s="56">
        <f>'[2]Изложницы без бурта'!G252</f>
        <v>0</v>
      </c>
      <c r="AJ252" s="56">
        <f>'[2]Изложницы без бурта'!H252</f>
        <v>0</v>
      </c>
      <c r="AK252" s="56">
        <f>'[2]Изложницы без бурта'!I252</f>
        <v>0</v>
      </c>
      <c r="AL252" s="56" t="s">
        <v>588</v>
      </c>
      <c r="AM252" s="56">
        <f>'[2]Изложницы без бурта'!K252</f>
        <v>0</v>
      </c>
    </row>
    <row r="253" spans="1:39" ht="16.2" thickBot="1" x14ac:dyDescent="0.35">
      <c r="A253" s="56" t="b">
        <f>Втулка!N$15&lt;=Данные!B253</f>
        <v>1</v>
      </c>
      <c r="B253" s="326">
        <v>2500</v>
      </c>
      <c r="C253" s="325">
        <v>25</v>
      </c>
      <c r="D253" s="325">
        <v>25</v>
      </c>
      <c r="E253" s="325">
        <v>25</v>
      </c>
      <c r="F253" s="325">
        <v>25</v>
      </c>
      <c r="G253" s="325">
        <v>25</v>
      </c>
      <c r="H253" s="325">
        <v>25</v>
      </c>
      <c r="I253" s="56">
        <v>0</v>
      </c>
      <c r="M253" s="630"/>
      <c r="N253" s="630">
        <f>LARGE(N250:P250,3)</f>
        <v>0</v>
      </c>
      <c r="O253" s="447">
        <f>IF(AND(P252=0,P251&gt;45),2,0)</f>
        <v>0</v>
      </c>
      <c r="P253" s="634">
        <f>N253*O253</f>
        <v>0</v>
      </c>
      <c r="Q253" s="630"/>
      <c r="R253" s="630">
        <f>LARGE(R250:T250,3)</f>
        <v>0</v>
      </c>
      <c r="S253" s="447">
        <f>IF(AND(T252=0,T251&gt;45),2,0)</f>
        <v>0</v>
      </c>
      <c r="T253" s="634">
        <f>R253*S253</f>
        <v>0</v>
      </c>
      <c r="U253" s="634"/>
      <c r="AB253" s="253">
        <f t="shared" si="10"/>
        <v>652.5</v>
      </c>
      <c r="AC253" s="254" t="str">
        <f>IF(COUNTIF(AD$78:AD253,AD253)=1,MAX(AC$78:AC252)+1,"")</f>
        <v/>
      </c>
      <c r="AD253" s="215">
        <f>'[2]Изложницы без бурта'!B253</f>
        <v>142.5</v>
      </c>
      <c r="AE253" s="215">
        <f>'[2]Изложницы без бурта'!C253</f>
        <v>318</v>
      </c>
      <c r="AF253" s="56">
        <f>'[2]Изложницы без бурта'!D253</f>
        <v>285</v>
      </c>
      <c r="AG253" s="56">
        <f>'[2]Изложницы без бурта'!E253</f>
        <v>320</v>
      </c>
      <c r="AH253" s="56" t="str">
        <f>'[2]Изложницы без бурта'!F253</f>
        <v>72.11871 - 2</v>
      </c>
      <c r="AI253" s="56">
        <f>'[2]Изложницы без бурта'!G253</f>
        <v>0</v>
      </c>
      <c r="AJ253" s="56">
        <f>'[2]Изложницы без бурта'!H253</f>
        <v>0</v>
      </c>
      <c r="AK253" s="56">
        <f>'[2]Изложницы без бурта'!I253</f>
        <v>0</v>
      </c>
      <c r="AL253" s="56" t="s">
        <v>588</v>
      </c>
      <c r="AM253" s="56">
        <f>'[2]Изложницы без бурта'!K253</f>
        <v>0</v>
      </c>
    </row>
    <row r="254" spans="1:39" ht="16.2" thickBot="1" x14ac:dyDescent="0.35">
      <c r="M254" s="637" t="s">
        <v>1237</v>
      </c>
      <c r="N254" s="631">
        <f t="shared" ref="N254:O256" si="14">N251</f>
        <v>350</v>
      </c>
      <c r="O254" s="631">
        <f t="shared" si="14"/>
        <v>1</v>
      </c>
      <c r="P254" s="638"/>
      <c r="Q254" s="637" t="s">
        <v>1237</v>
      </c>
      <c r="R254" s="631">
        <f t="shared" ref="R254:S254" si="15">R251</f>
        <v>350</v>
      </c>
      <c r="S254" s="631">
        <f t="shared" si="15"/>
        <v>3</v>
      </c>
      <c r="T254" s="638"/>
      <c r="U254" s="634"/>
      <c r="AB254" s="253">
        <f t="shared" si="10"/>
        <v>655</v>
      </c>
      <c r="AC254" s="254" t="str">
        <f>IF(COUNTIF(AD$78:AD254,AD254)=1,MAX(AC$78:AC253)+1,"")</f>
        <v/>
      </c>
      <c r="AD254" s="215">
        <f>'[2]Изложницы без бурта'!B254</f>
        <v>142.5</v>
      </c>
      <c r="AE254" s="215">
        <f>'[2]Изложницы без бурта'!C254</f>
        <v>378</v>
      </c>
      <c r="AF254" s="56">
        <f>'[2]Изложницы без бурта'!D254</f>
        <v>285</v>
      </c>
      <c r="AG254" s="56">
        <f>'[2]Изложницы без бурта'!E254</f>
        <v>320</v>
      </c>
      <c r="AH254" s="56" t="str">
        <f>'[2]Изложницы без бурта'!F254</f>
        <v>72.42461 - 2</v>
      </c>
      <c r="AI254" s="56">
        <f>'[2]Изложницы без бурта'!G254</f>
        <v>0</v>
      </c>
      <c r="AJ254" s="56">
        <f>'[2]Изложницы без бурта'!H254</f>
        <v>0</v>
      </c>
      <c r="AK254" s="56">
        <f>'[2]Изложницы без бурта'!I254</f>
        <v>0</v>
      </c>
      <c r="AL254" s="56" t="s">
        <v>588</v>
      </c>
      <c r="AM254" s="56">
        <f>'[2]Изложницы без бурта'!K254</f>
        <v>0</v>
      </c>
    </row>
    <row r="255" spans="1:39" ht="16.2" thickBot="1" x14ac:dyDescent="0.35">
      <c r="A255" s="1487" t="b">
        <v>0</v>
      </c>
      <c r="B255" s="878"/>
      <c r="C255" s="213"/>
      <c r="D255" s="213"/>
      <c r="E255" s="213"/>
      <c r="F255" s="213"/>
      <c r="G255" s="213"/>
      <c r="H255" s="213"/>
      <c r="I255" s="213"/>
      <c r="J255" s="213"/>
      <c r="K255" s="214"/>
      <c r="M255" s="630"/>
      <c r="N255" s="447">
        <f t="shared" si="14"/>
        <v>200</v>
      </c>
      <c r="O255" s="447">
        <f t="shared" si="14"/>
        <v>1</v>
      </c>
      <c r="P255" s="634"/>
      <c r="Q255" s="630"/>
      <c r="R255" s="447">
        <f t="shared" ref="R255:S255" si="16">R252</f>
        <v>200</v>
      </c>
      <c r="S255" s="447">
        <f t="shared" si="16"/>
        <v>1</v>
      </c>
      <c r="T255" s="634"/>
      <c r="U255" s="634"/>
      <c r="AB255" s="253">
        <f t="shared" si="10"/>
        <v>657.5</v>
      </c>
      <c r="AC255" s="254" t="str">
        <f>IF(COUNTIF(AD$78:AD255,AD255)=1,MAX(AC$78:AC254)+1,"")</f>
        <v/>
      </c>
      <c r="AD255" s="215">
        <f>'[2]Изложницы без бурта'!B255</f>
        <v>142.5</v>
      </c>
      <c r="AE255" s="215">
        <f>'[2]Изложницы без бурта'!C255</f>
        <v>260</v>
      </c>
      <c r="AF255" s="56">
        <f>'[2]Изложницы без бурта'!D255</f>
        <v>285</v>
      </c>
      <c r="AG255" s="56">
        <f>'[2]Изложницы без бурта'!E255</f>
        <v>320</v>
      </c>
      <c r="AH255" s="56" t="str">
        <f>'[2]Изложницы без бурта'!F255</f>
        <v>72.11870 - 2</v>
      </c>
      <c r="AI255" s="56">
        <f>'[2]Изложницы без бурта'!G255</f>
        <v>0</v>
      </c>
      <c r="AJ255" s="56">
        <f>'[2]Изложницы без бурта'!H255</f>
        <v>0</v>
      </c>
      <c r="AK255" s="56">
        <f>'[2]Изложницы без бурта'!I255</f>
        <v>0</v>
      </c>
      <c r="AL255" s="56" t="s">
        <v>588</v>
      </c>
      <c r="AM255" s="56">
        <f>'[2]Изложницы без бурта'!K255</f>
        <v>0</v>
      </c>
    </row>
    <row r="256" spans="1:39" ht="16.2" thickBot="1" x14ac:dyDescent="0.35">
      <c r="A256" s="1485" t="s">
        <v>1153</v>
      </c>
      <c r="B256" s="64" t="s">
        <v>1250</v>
      </c>
      <c r="C256" s="1486">
        <f>IF(A255=TRUE,2500,'Втулка с буртом'!M12+'Втулка с буртом'!M13)</f>
        <v>1088</v>
      </c>
      <c r="D256" s="64" t="s">
        <v>118</v>
      </c>
      <c r="E256" s="64" t="s">
        <v>122</v>
      </c>
      <c r="F256" s="64" t="s">
        <v>132</v>
      </c>
      <c r="G256" s="134"/>
      <c r="H256" s="780" t="s">
        <v>927</v>
      </c>
      <c r="I256" s="796">
        <f>VLOOKUP('Втулка с буртом'!F8,Марка_мет,9,FALSE())</f>
        <v>9.3000000000000007</v>
      </c>
      <c r="J256" s="134"/>
      <c r="K256" s="225"/>
      <c r="M256" s="648"/>
      <c r="N256" s="649">
        <f t="shared" si="14"/>
        <v>0</v>
      </c>
      <c r="O256" s="649">
        <f t="shared" si="14"/>
        <v>0</v>
      </c>
      <c r="P256" s="677"/>
      <c r="Q256" s="648"/>
      <c r="R256" s="649">
        <f t="shared" ref="R256:S256" si="17">R253</f>
        <v>0</v>
      </c>
      <c r="S256" s="649">
        <f t="shared" si="17"/>
        <v>0</v>
      </c>
      <c r="T256" s="677"/>
      <c r="U256" s="634"/>
      <c r="AB256" s="253">
        <f t="shared" si="10"/>
        <v>660</v>
      </c>
      <c r="AC256" s="254" t="str">
        <f>IF(COUNTIF(AD$78:AD256,AD256)=1,MAX(AC$78:AC255)+1,"")</f>
        <v/>
      </c>
      <c r="AD256" s="215">
        <f>'[2]Изложницы без бурта'!B256</f>
        <v>142.5</v>
      </c>
      <c r="AE256" s="215">
        <f>'[2]Изложницы без бурта'!C256</f>
        <v>320</v>
      </c>
      <c r="AF256" s="56">
        <f>'[2]Изложницы без бурта'!D256</f>
        <v>285</v>
      </c>
      <c r="AG256" s="56">
        <f>'[2]Изложницы без бурта'!E256</f>
        <v>320</v>
      </c>
      <c r="AH256" s="56" t="str">
        <f>'[2]Изложницы без бурта'!F256</f>
        <v>72.11871 - 2</v>
      </c>
      <c r="AI256" s="56">
        <f>'[2]Изложницы без бурта'!G256</f>
        <v>0</v>
      </c>
      <c r="AJ256" s="56">
        <f>'[2]Изложницы без бурта'!H256</f>
        <v>0</v>
      </c>
      <c r="AK256" s="56">
        <f>'[2]Изложницы без бурта'!I256</f>
        <v>0</v>
      </c>
      <c r="AL256" s="56" t="s">
        <v>588</v>
      </c>
      <c r="AM256" s="56">
        <f>'[2]Изложницы без бурта'!K256</f>
        <v>0</v>
      </c>
    </row>
    <row r="257" spans="1:39" ht="16.2" thickBot="1" x14ac:dyDescent="0.35">
      <c r="A257" s="68" t="s">
        <v>147</v>
      </c>
      <c r="B257" s="1484" t="str">
        <f>_xlfn.IFNA(_xlfn.IFS(C257=D256,D257,C257=E256,E257,C257=F256,F257),H23)</f>
        <v>242.04.462-1</v>
      </c>
      <c r="C257" s="66" t="str">
        <f>IF(VLOOKUP('Втулка с буртом'!F8,Марка_мет,8,FALSE())=FALSE,I257,VLOOKUP('Втулка с буртом'!F8,Марка_мет,8,FALSE()))</f>
        <v>242.04.462</v>
      </c>
      <c r="D257" s="57" t="str">
        <f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>242.04.462-1</v>
      </c>
      <c r="E257" s="57" t="str">
        <f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7" t="str">
        <f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/>
      </c>
      <c r="G257" s="134"/>
      <c r="H257" s="774" t="s">
        <v>928</v>
      </c>
      <c r="I257" s="773" t="b">
        <f>IF(I256=8.88,IF(OR(D256&lt;=1500,Втулка!#REF!+Втулка!#REF!&lt;=700),"242.04.463","242.04.462"))</f>
        <v>0</v>
      </c>
      <c r="J257" s="134"/>
      <c r="K257" s="225"/>
      <c r="M257" s="673" t="s">
        <v>1240</v>
      </c>
      <c r="N257" s="675">
        <f>N254*O254+N255*O255+N256*O256+P248</f>
        <v>750</v>
      </c>
      <c r="O257" s="675"/>
      <c r="P257" s="674"/>
      <c r="Q257" s="673" t="s">
        <v>1240</v>
      </c>
      <c r="R257" s="675">
        <f>R254*S254+R255*S255+R256*S256+T248</f>
        <v>1600</v>
      </c>
      <c r="S257" s="675"/>
      <c r="T257" s="674"/>
      <c r="U257" s="677"/>
      <c r="AB257" s="253">
        <f t="shared" si="10"/>
        <v>665</v>
      </c>
      <c r="AC257" s="254" t="str">
        <f>IF(COUNTIF(AD$78:AD257,AD257)=1,MAX(AC$78:AC256)+1,"")</f>
        <v/>
      </c>
      <c r="AD257" s="215">
        <f>'[2]Изложницы без бурта'!B257</f>
        <v>142.5</v>
      </c>
      <c r="AE257" s="215">
        <f>'[2]Изложницы без бурта'!C257</f>
        <v>265</v>
      </c>
      <c r="AF257" s="56">
        <f>'[2]Изложницы без бурта'!D257</f>
        <v>285</v>
      </c>
      <c r="AG257" s="56">
        <f>'[2]Изложницы без бурта'!E257</f>
        <v>320</v>
      </c>
      <c r="AH257" s="56" t="str">
        <f>'[2]Изложницы без бурта'!F257</f>
        <v>72.11870 - 2</v>
      </c>
      <c r="AI257" s="56">
        <f>'[2]Изложницы без бурта'!G257</f>
        <v>0</v>
      </c>
      <c r="AJ257" s="56">
        <f>'[2]Изложницы без бурта'!H257</f>
        <v>0</v>
      </c>
      <c r="AK257" s="56">
        <f>'[2]Изложницы без бурта'!I257</f>
        <v>0</v>
      </c>
      <c r="AL257" s="56" t="s">
        <v>588</v>
      </c>
      <c r="AM257" s="56">
        <f>'[2]Изложницы без бурта'!K257</f>
        <v>0</v>
      </c>
    </row>
    <row r="258" spans="1:39" ht="14.4" thickBot="1" x14ac:dyDescent="0.3">
      <c r="A258" s="1231" t="s">
        <v>26</v>
      </c>
      <c r="B258" s="1232">
        <f>ROUND(_xlfn.IFS(C257=D256,D258,C257=E256,E258,C257=F256,F258),2)</f>
        <v>84.01</v>
      </c>
      <c r="C258" s="69"/>
      <c r="D258" s="69">
        <f>G303</f>
        <v>84.00849226736851</v>
      </c>
      <c r="E258" s="238" t="e">
        <f>H274</f>
        <v>#N/A</v>
      </c>
      <c r="F258" s="238" t="e">
        <f>I289</f>
        <v>#N/A</v>
      </c>
      <c r="G258" s="134"/>
      <c r="H258" s="783" t="s">
        <v>929</v>
      </c>
      <c r="I258" s="797"/>
      <c r="J258" s="134"/>
      <c r="K258" s="225"/>
      <c r="AB258" s="253">
        <f t="shared" si="10"/>
        <v>667.5</v>
      </c>
      <c r="AC258" s="254">
        <f>IF(COUNTIF(AD$78:AD258,AD258)=1,MAX(AC$78:AC257)+1,"")</f>
        <v>24</v>
      </c>
      <c r="AD258" s="215">
        <f>'[2]Изложницы без бурта'!B258</f>
        <v>145</v>
      </c>
      <c r="AE258" s="215">
        <f>'[2]Изложницы без бурта'!C258</f>
        <v>260</v>
      </c>
      <c r="AF258" s="56">
        <f>'[2]Изложницы без бурта'!D258</f>
        <v>285</v>
      </c>
      <c r="AG258" s="56">
        <f>'[2]Изложницы без бурта'!E258</f>
        <v>320</v>
      </c>
      <c r="AH258" s="56" t="str">
        <f>'[2]Изложницы без бурта'!F258</f>
        <v>72.11870 - 3</v>
      </c>
      <c r="AI258" s="56">
        <f>'[2]Изложницы без бурта'!G258</f>
        <v>0</v>
      </c>
      <c r="AJ258" s="56">
        <f>'[2]Изложницы без бурта'!H258</f>
        <v>0</v>
      </c>
      <c r="AK258" s="56">
        <f>'[2]Изложницы без бурта'!I258</f>
        <v>0</v>
      </c>
      <c r="AL258" s="56" t="s">
        <v>589</v>
      </c>
      <c r="AM258" s="56">
        <f>'[2]Изложницы без бурта'!K258</f>
        <v>0</v>
      </c>
    </row>
    <row r="259" spans="1:39" x14ac:dyDescent="0.25">
      <c r="A259" s="1267"/>
      <c r="B259" s="1233"/>
      <c r="C259" s="134"/>
      <c r="D259" s="134"/>
      <c r="E259" s="134"/>
      <c r="F259" s="134"/>
      <c r="G259" s="134"/>
      <c r="H259" s="134"/>
      <c r="I259" s="134"/>
      <c r="J259" s="134"/>
      <c r="K259" s="225"/>
      <c r="L259" s="134"/>
      <c r="M259" s="134"/>
      <c r="N259" s="1499"/>
      <c r="O259" s="1499"/>
      <c r="P259" s="1499"/>
      <c r="Q259" s="134"/>
      <c r="R259" s="134"/>
      <c r="AB259" s="253">
        <f t="shared" si="10"/>
        <v>700</v>
      </c>
      <c r="AC259" s="254" t="str">
        <f>IF(COUNTIF(AD$78:AD259,AD259)=1,MAX(AC$78:AC258)+1,"")</f>
        <v/>
      </c>
      <c r="AD259" s="215">
        <f>'[2]Изложницы без бурта'!B259</f>
        <v>145</v>
      </c>
      <c r="AE259" s="215">
        <f>'[2]Изложницы без бурта'!C259</f>
        <v>265</v>
      </c>
      <c r="AF259" s="56">
        <f>'[2]Изложницы без бурта'!D259</f>
        <v>285</v>
      </c>
      <c r="AG259" s="56">
        <f>'[2]Изложницы без бурта'!E259</f>
        <v>320</v>
      </c>
      <c r="AH259" s="56" t="str">
        <f>'[2]Изложницы без бурта'!F259</f>
        <v>72.11870 - 3</v>
      </c>
      <c r="AI259" s="56">
        <f>'[2]Изложницы без бурта'!G259</f>
        <v>0</v>
      </c>
      <c r="AJ259" s="56">
        <f>'[2]Изложницы без бурта'!H259</f>
        <v>0</v>
      </c>
      <c r="AK259" s="56">
        <f>'[2]Изложницы без бурта'!I259</f>
        <v>0</v>
      </c>
      <c r="AL259" s="56" t="s">
        <v>589</v>
      </c>
      <c r="AM259" s="56">
        <f>'[2]Изложницы без бурта'!K259</f>
        <v>0</v>
      </c>
    </row>
    <row r="260" spans="1:39" ht="15.6" x14ac:dyDescent="0.3">
      <c r="A260" s="223"/>
      <c r="B260" s="1268"/>
      <c r="C260" s="134"/>
      <c r="D260" s="134"/>
      <c r="E260" s="134"/>
      <c r="F260" s="134"/>
      <c r="G260" s="134"/>
      <c r="H260" s="134"/>
      <c r="I260" s="134"/>
      <c r="J260" s="134"/>
      <c r="K260" s="225"/>
      <c r="L260" s="134"/>
      <c r="M260" s="134"/>
      <c r="N260" s="447"/>
      <c r="O260" s="447"/>
      <c r="P260" s="447"/>
      <c r="Q260" s="134"/>
      <c r="R260" s="134"/>
      <c r="AB260" s="253" t="str">
        <f t="shared" si="10"/>
        <v/>
      </c>
      <c r="AC260" s="254" t="str">
        <f>IF(COUNTIF(AD$78:AD260,AD260)=1,MAX(AC$78:AC259)+1,"")</f>
        <v/>
      </c>
      <c r="AD260" s="215">
        <f>'[2]Изложницы без бурта'!B260</f>
        <v>145</v>
      </c>
      <c r="AE260" s="215">
        <f>'[2]Изложницы без бурта'!C260</f>
        <v>265</v>
      </c>
      <c r="AF260" s="56">
        <f>'[2]Изложницы без бурта'!D260</f>
        <v>285</v>
      </c>
      <c r="AG260" s="56">
        <f>'[2]Изложницы без бурта'!E260</f>
        <v>320</v>
      </c>
      <c r="AH260" s="56" t="str">
        <f>'[2]Изложницы без бурта'!F260</f>
        <v>72.11870 - 3</v>
      </c>
      <c r="AI260" s="56">
        <f>'[2]Изложницы без бурта'!G260</f>
        <v>0</v>
      </c>
      <c r="AJ260" s="56">
        <f>'[2]Изложницы без бурта'!H260</f>
        <v>0</v>
      </c>
      <c r="AK260" s="56">
        <f>'[2]Изложницы без бурта'!I260</f>
        <v>0</v>
      </c>
      <c r="AL260" s="56" t="s">
        <v>589</v>
      </c>
      <c r="AM260" s="56">
        <f>'[2]Изложницы без бурта'!K260</f>
        <v>0</v>
      </c>
    </row>
    <row r="261" spans="1:39" ht="16.2" thickBot="1" x14ac:dyDescent="0.35">
      <c r="A261" s="223" t="s">
        <v>199</v>
      </c>
      <c r="B261" s="219"/>
      <c r="C261" s="219"/>
      <c r="D261" s="219"/>
      <c r="E261" s="1269"/>
      <c r="F261" s="134"/>
      <c r="G261" s="134"/>
      <c r="H261" s="134"/>
      <c r="I261" s="134"/>
      <c r="J261" s="134"/>
      <c r="K261" s="225"/>
      <c r="L261" s="134"/>
      <c r="M261" s="134"/>
      <c r="N261" s="447"/>
      <c r="O261" s="447"/>
      <c r="P261" s="447"/>
      <c r="Q261" s="134"/>
      <c r="R261" s="134"/>
      <c r="AB261" s="253" t="str">
        <f t="shared" si="10"/>
        <v/>
      </c>
      <c r="AC261" s="254" t="str">
        <f>IF(COUNTIF(AD$78:AD261,AD261)=1,MAX(AC$78:AC260)+1,"")</f>
        <v/>
      </c>
      <c r="AD261" s="215">
        <f>'[2]Изложницы без бурта'!B261</f>
        <v>145</v>
      </c>
      <c r="AE261" s="215">
        <f>'[2]Изложницы без бурта'!C261</f>
        <v>270</v>
      </c>
      <c r="AF261" s="56">
        <f>'[2]Изложницы без бурта'!D261</f>
        <v>285</v>
      </c>
      <c r="AG261" s="56">
        <f>'[2]Изложницы без бурта'!E261</f>
        <v>320</v>
      </c>
      <c r="AH261" s="56" t="str">
        <f>'[2]Изложницы без бурта'!F261</f>
        <v>72.11870 - 3</v>
      </c>
      <c r="AI261" s="56">
        <f>'[2]Изложницы без бурта'!G261</f>
        <v>0</v>
      </c>
      <c r="AJ261" s="56">
        <f>'[2]Изложницы без бурта'!H261</f>
        <v>0</v>
      </c>
      <c r="AK261" s="56">
        <f>'[2]Изложницы без бурта'!I261</f>
        <v>0</v>
      </c>
      <c r="AL261" s="56" t="s">
        <v>589</v>
      </c>
      <c r="AM261" s="56">
        <f>'[2]Изложницы без бурта'!K261</f>
        <v>0</v>
      </c>
    </row>
    <row r="262" spans="1:39" ht="15.6" x14ac:dyDescent="0.3">
      <c r="A262" s="257" t="s">
        <v>200</v>
      </c>
      <c r="B262" s="258"/>
      <c r="C262" s="259" t="s">
        <v>201</v>
      </c>
      <c r="D262" s="258"/>
      <c r="E262" s="259" t="s">
        <v>149</v>
      </c>
      <c r="F262" s="260"/>
      <c r="G262" s="258"/>
      <c r="H262" s="261" t="s">
        <v>202</v>
      </c>
      <c r="I262" s="262"/>
      <c r="J262" s="134"/>
      <c r="K262" s="225"/>
      <c r="L262" s="134"/>
      <c r="M262" s="134"/>
      <c r="N262" s="447"/>
      <c r="O262" s="447"/>
      <c r="P262" s="447"/>
      <c r="Q262" s="134"/>
      <c r="R262" s="134"/>
      <c r="AB262" s="253" t="str">
        <f t="shared" si="10"/>
        <v/>
      </c>
      <c r="AC262" s="254" t="str">
        <f>IF(COUNTIF(AD$78:AD262,AD262)=1,MAX(AC$78:AC261)+1,"")</f>
        <v/>
      </c>
      <c r="AD262" s="215">
        <f>'[2]Изложницы без бурта'!B262</f>
        <v>145</v>
      </c>
      <c r="AE262" s="215">
        <f>'[2]Изложницы без бурта'!C262</f>
        <v>263</v>
      </c>
      <c r="AF262" s="56">
        <f>'[2]Изложницы без бурта'!D262</f>
        <v>285</v>
      </c>
      <c r="AG262" s="56">
        <f>'[2]Изложницы без бурта'!E262</f>
        <v>320</v>
      </c>
      <c r="AH262" s="56" t="str">
        <f>'[2]Изложницы без бурта'!F262</f>
        <v>72.11870 - 3</v>
      </c>
      <c r="AI262" s="56">
        <f>'[2]Изложницы без бурта'!G262</f>
        <v>0</v>
      </c>
      <c r="AJ262" s="56">
        <f>'[2]Изложницы без бурта'!H262</f>
        <v>0</v>
      </c>
      <c r="AK262" s="56">
        <f>'[2]Изложницы без бурта'!I262</f>
        <v>0</v>
      </c>
      <c r="AL262" s="56" t="s">
        <v>589</v>
      </c>
      <c r="AM262" s="56">
        <f>'[2]Изложницы без бурта'!K262</f>
        <v>0</v>
      </c>
    </row>
    <row r="263" spans="1:39" ht="15.6" x14ac:dyDescent="0.3">
      <c r="A263" s="263" t="s">
        <v>203</v>
      </c>
      <c r="B263" s="264"/>
      <c r="C263" s="265" t="s">
        <v>150</v>
      </c>
      <c r="D263" s="265"/>
      <c r="E263" s="265" t="s">
        <v>178</v>
      </c>
      <c r="F263" s="266"/>
      <c r="G263" s="265"/>
      <c r="H263" s="267"/>
      <c r="I263" s="134"/>
      <c r="J263" s="134"/>
      <c r="K263" s="225"/>
      <c r="L263" s="134"/>
      <c r="M263" s="134"/>
      <c r="N263" s="447"/>
      <c r="O263" s="447"/>
      <c r="P263" s="447"/>
      <c r="Q263" s="134"/>
      <c r="R263" s="134"/>
      <c r="AB263" s="253" t="str">
        <f t="shared" si="10"/>
        <v/>
      </c>
      <c r="AC263" s="254" t="str">
        <f>IF(COUNTIF(AD$78:AD263,AD263)=1,MAX(AC$78:AC262)+1,"")</f>
        <v/>
      </c>
      <c r="AD263" s="215">
        <f>'[2]Изложницы без бурта'!B263</f>
        <v>145</v>
      </c>
      <c r="AE263" s="215">
        <f>'[2]Изложницы без бурта'!C263</f>
        <v>265</v>
      </c>
      <c r="AF263" s="56">
        <f>'[2]Изложницы без бурта'!D263</f>
        <v>285</v>
      </c>
      <c r="AG263" s="56">
        <f>'[2]Изложницы без бурта'!E263</f>
        <v>320</v>
      </c>
      <c r="AH263" s="56" t="str">
        <f>'[2]Изложницы без бурта'!F263</f>
        <v>72.11870 - 3</v>
      </c>
      <c r="AI263" s="56">
        <f>'[2]Изложницы без бурта'!G263</f>
        <v>0</v>
      </c>
      <c r="AJ263" s="56">
        <f>'[2]Изложницы без бурта'!H263</f>
        <v>0</v>
      </c>
      <c r="AK263" s="56">
        <f>'[2]Изложницы без бурта'!I263</f>
        <v>0</v>
      </c>
      <c r="AL263" s="56" t="s">
        <v>589</v>
      </c>
      <c r="AM263" s="56">
        <f>'[2]Изложницы без бурта'!K263</f>
        <v>0</v>
      </c>
    </row>
    <row r="264" spans="1:39" ht="15.6" x14ac:dyDescent="0.3">
      <c r="A264" s="268" t="e">
        <f>VLOOKUP(B257,A60:I66,6,FALSE)</f>
        <v>#N/A</v>
      </c>
      <c r="B264" s="269" t="e">
        <f>A264</f>
        <v>#N/A</v>
      </c>
      <c r="C264" s="270" t="e">
        <f>VLOOKUP(B257,A60:I66,3,FALSE)</f>
        <v>#N/A</v>
      </c>
      <c r="D264" s="266"/>
      <c r="E264" s="270" t="e">
        <f>VLOOKUP(B257,A60:I66,7,FALSE)</f>
        <v>#N/A</v>
      </c>
      <c r="F264" s="266"/>
      <c r="G264" s="265"/>
      <c r="H264" s="267"/>
      <c r="I264" s="134"/>
      <c r="J264" s="134"/>
      <c r="K264" s="225"/>
      <c r="L264" s="134"/>
      <c r="M264" s="134"/>
      <c r="N264" s="447"/>
      <c r="O264" s="447"/>
      <c r="P264" s="447"/>
      <c r="Q264" s="134"/>
      <c r="R264" s="134"/>
      <c r="AB264" s="253" t="str">
        <f t="shared" si="10"/>
        <v/>
      </c>
      <c r="AC264" s="254" t="str">
        <f>IF(COUNTIF(AD$78:AD264,AD264)=1,MAX(AC$78:AC263)+1,"")</f>
        <v/>
      </c>
      <c r="AD264" s="215">
        <f>'[2]Изложницы без бурта'!B264</f>
        <v>145</v>
      </c>
      <c r="AE264" s="215">
        <f>'[2]Изложницы без бурта'!C264</f>
        <v>320</v>
      </c>
      <c r="AF264" s="56">
        <f>'[2]Изложницы без бурта'!D264</f>
        <v>285</v>
      </c>
      <c r="AG264" s="56">
        <f>'[2]Изложницы без бурта'!E264</f>
        <v>320</v>
      </c>
      <c r="AH264" s="56" t="str">
        <f>'[2]Изложницы без бурта'!F264</f>
        <v>72.11871 - 3</v>
      </c>
      <c r="AI264" s="56">
        <f>'[2]Изложницы без бурта'!G264</f>
        <v>0</v>
      </c>
      <c r="AJ264" s="56">
        <f>'[2]Изложницы без бурта'!H264</f>
        <v>0</v>
      </c>
      <c r="AK264" s="56">
        <f>'[2]Изложницы без бурта'!I264</f>
        <v>0</v>
      </c>
      <c r="AL264" s="56" t="s">
        <v>589</v>
      </c>
      <c r="AM264" s="56">
        <f>'[2]Изложницы без бурта'!K264</f>
        <v>0</v>
      </c>
    </row>
    <row r="265" spans="1:39" ht="15.6" x14ac:dyDescent="0.3">
      <c r="A265" s="271"/>
      <c r="B265" s="264"/>
      <c r="C265" s="265" t="s">
        <v>151</v>
      </c>
      <c r="D265" s="265"/>
      <c r="E265" s="265" t="s">
        <v>179</v>
      </c>
      <c r="F265" s="266"/>
      <c r="G265" s="265"/>
      <c r="H265" s="267"/>
      <c r="I265" s="134"/>
      <c r="J265" s="134"/>
      <c r="K265" s="225"/>
      <c r="L265" s="134"/>
      <c r="M265" s="134"/>
      <c r="N265" s="447"/>
      <c r="O265" s="447"/>
      <c r="P265" s="447"/>
      <c r="Q265" s="134"/>
      <c r="R265" s="134"/>
      <c r="AB265" s="253" t="str">
        <f t="shared" si="10"/>
        <v/>
      </c>
      <c r="AC265" s="254" t="str">
        <f>IF(COUNTIF(AD$78:AD265,AD265)=1,MAX(AC$78:AC264)+1,"")</f>
        <v/>
      </c>
      <c r="AD265" s="215">
        <f>'[2]Изложницы без бурта'!B265</f>
        <v>145</v>
      </c>
      <c r="AE265" s="215">
        <f>'[2]Изложницы без бурта'!C265</f>
        <v>318</v>
      </c>
      <c r="AF265" s="56">
        <f>'[2]Изложницы без бурта'!D265</f>
        <v>285</v>
      </c>
      <c r="AG265" s="56">
        <f>'[2]Изложницы без бурта'!E265</f>
        <v>320</v>
      </c>
      <c r="AH265" s="56" t="str">
        <f>'[2]Изложницы без бурта'!F265</f>
        <v>72.11871 - 3</v>
      </c>
      <c r="AI265" s="56">
        <f>'[2]Изложницы без бурта'!G265</f>
        <v>0</v>
      </c>
      <c r="AJ265" s="56">
        <f>'[2]Изложницы без бурта'!H265</f>
        <v>0</v>
      </c>
      <c r="AK265" s="56">
        <f>'[2]Изложницы без бурта'!I265</f>
        <v>0</v>
      </c>
      <c r="AL265" s="56" t="s">
        <v>589</v>
      </c>
      <c r="AM265" s="56">
        <f>'[2]Изложницы без бурта'!K265</f>
        <v>0</v>
      </c>
    </row>
    <row r="266" spans="1:39" ht="15.6" x14ac:dyDescent="0.3">
      <c r="A266" s="263" t="s">
        <v>88</v>
      </c>
      <c r="B266" s="264"/>
      <c r="C266" s="270" t="e">
        <f>VLOOKUP(B257,A60:I66,4,FALSE)</f>
        <v>#N/A</v>
      </c>
      <c r="D266" s="272" t="e">
        <f>(C264+C266)/2</f>
        <v>#N/A</v>
      </c>
      <c r="E266" s="270" t="e">
        <f>VLOOKUP(B257,A60:I66,8,FALSE)</f>
        <v>#N/A</v>
      </c>
      <c r="F266" s="265" t="e">
        <f>(E264+E266)/2</f>
        <v>#N/A</v>
      </c>
      <c r="G266" s="266"/>
      <c r="H266" s="267"/>
      <c r="I266" s="134"/>
      <c r="J266" s="134"/>
      <c r="K266" s="225"/>
      <c r="L266" s="134"/>
      <c r="M266" s="134"/>
      <c r="N266" s="447"/>
      <c r="O266" s="447"/>
      <c r="P266" s="447"/>
      <c r="Q266" s="134"/>
      <c r="R266" s="134"/>
      <c r="AB266" s="253" t="str">
        <f t="shared" si="10"/>
        <v/>
      </c>
      <c r="AC266" s="254" t="str">
        <f>IF(COUNTIF(AD$78:AD266,AD266)=1,MAX(AC$78:AC265)+1,"")</f>
        <v/>
      </c>
      <c r="AD266" s="215">
        <f>'[2]Изложницы без бурта'!B266</f>
        <v>145</v>
      </c>
      <c r="AE266" s="215">
        <f>'[2]Изложницы без бурта'!C266</f>
        <v>263</v>
      </c>
      <c r="AF266" s="56">
        <f>'[2]Изложницы без бурта'!D266</f>
        <v>285</v>
      </c>
      <c r="AG266" s="56">
        <f>'[2]Изложницы без бурта'!E266</f>
        <v>320</v>
      </c>
      <c r="AH266" s="56" t="str">
        <f>'[2]Изложницы без бурта'!F266</f>
        <v>72.11870 - 3</v>
      </c>
      <c r="AI266" s="56">
        <f>'[2]Изложницы без бурта'!G266</f>
        <v>0</v>
      </c>
      <c r="AJ266" s="56">
        <f>'[2]Изложницы без бурта'!H266</f>
        <v>0</v>
      </c>
      <c r="AK266" s="56">
        <f>'[2]Изложницы без бурта'!I266</f>
        <v>0</v>
      </c>
      <c r="AL266" s="56" t="s">
        <v>589</v>
      </c>
      <c r="AM266" s="56">
        <f>'[2]Изложницы без бурта'!K266</f>
        <v>0</v>
      </c>
    </row>
    <row r="267" spans="1:39" ht="15.6" x14ac:dyDescent="0.3">
      <c r="A267" s="268">
        <f>'Втулка с буртом'!M7+'Втулка с буртом'!M11</f>
        <v>1244</v>
      </c>
      <c r="B267" s="269">
        <f>A267</f>
        <v>1244</v>
      </c>
      <c r="C267" s="265" t="s">
        <v>152</v>
      </c>
      <c r="D267" s="265"/>
      <c r="E267" s="265" t="s">
        <v>204</v>
      </c>
      <c r="F267" s="265"/>
      <c r="G267" s="266"/>
      <c r="H267" s="267"/>
      <c r="I267" s="134"/>
      <c r="J267" s="134"/>
      <c r="K267" s="225"/>
      <c r="L267" s="134"/>
      <c r="M267" s="134"/>
      <c r="N267" s="447"/>
      <c r="O267" s="447"/>
      <c r="P267" s="447"/>
      <c r="Q267" s="134"/>
      <c r="R267" s="134"/>
      <c r="AB267" s="253" t="str">
        <f t="shared" si="10"/>
        <v/>
      </c>
      <c r="AC267" s="254" t="str">
        <f>IF(COUNTIF(AD$78:AD267,AD267)=1,MAX(AC$78:AC266)+1,"")</f>
        <v/>
      </c>
      <c r="AD267" s="215">
        <f>'[2]Изложницы без бурта'!B267</f>
        <v>145</v>
      </c>
      <c r="AE267" s="215">
        <f>'[2]Изложницы без бурта'!C267</f>
        <v>265</v>
      </c>
      <c r="AF267" s="56">
        <f>'[2]Изложницы без бурта'!D267</f>
        <v>285</v>
      </c>
      <c r="AG267" s="56">
        <f>'[2]Изложницы без бурта'!E267</f>
        <v>320</v>
      </c>
      <c r="AH267" s="56" t="str">
        <f>'[2]Изложницы без бурта'!F267</f>
        <v>72.11870 - 3</v>
      </c>
      <c r="AI267" s="56">
        <f>'[2]Изложницы без бурта'!G267</f>
        <v>0</v>
      </c>
      <c r="AJ267" s="56">
        <f>'[2]Изложницы без бурта'!H267</f>
        <v>0</v>
      </c>
      <c r="AK267" s="56">
        <f>'[2]Изложницы без бурта'!I267</f>
        <v>0</v>
      </c>
      <c r="AL267" s="56" t="s">
        <v>589</v>
      </c>
      <c r="AM267" s="56">
        <f>'[2]Изложницы без бурта'!K267</f>
        <v>0</v>
      </c>
    </row>
    <row r="268" spans="1:39" ht="15.6" x14ac:dyDescent="0.3">
      <c r="A268" s="271"/>
      <c r="B268" s="273">
        <f>'Втулка с буртом'!M8</f>
        <v>9.3000000000000007</v>
      </c>
      <c r="C268" s="270" t="e">
        <f>VLOOKUP(B257,A60:I66,5,FALSE)</f>
        <v>#N/A</v>
      </c>
      <c r="D268" s="272" t="e">
        <f>C268</f>
        <v>#N/A</v>
      </c>
      <c r="E268" s="270" t="e">
        <f>VLOOKUP(B257,A60:I66,9,FALSE)</f>
        <v>#N/A</v>
      </c>
      <c r="F268" s="265" t="e">
        <f>E268</f>
        <v>#N/A</v>
      </c>
      <c r="G268" s="266"/>
      <c r="H268" s="274"/>
      <c r="I268" s="134"/>
      <c r="J268" s="134"/>
      <c r="K268" s="225"/>
      <c r="L268" s="134"/>
      <c r="M268" s="134"/>
      <c r="N268" s="447"/>
      <c r="O268" s="447"/>
      <c r="P268" s="447"/>
      <c r="Q268" s="134"/>
      <c r="R268" s="134"/>
      <c r="AB268" s="253" t="str">
        <f t="shared" si="10"/>
        <v/>
      </c>
      <c r="AC268" s="254" t="str">
        <f>IF(COUNTIF(AD$78:AD268,AD268)=1,MAX(AC$78:AC267)+1,"")</f>
        <v/>
      </c>
      <c r="AD268" s="215">
        <f>'[2]Изложницы без бурта'!B268</f>
        <v>145</v>
      </c>
      <c r="AE268" s="215">
        <f>'[2]Изложницы без бурта'!C268</f>
        <v>265</v>
      </c>
      <c r="AF268" s="56">
        <f>'[2]Изложницы без бурта'!D268</f>
        <v>285</v>
      </c>
      <c r="AG268" s="56">
        <f>'[2]Изложницы без бурта'!E268</f>
        <v>320</v>
      </c>
      <c r="AH268" s="56" t="str">
        <f>'[2]Изложницы без бурта'!F268</f>
        <v>72.11870 - 3</v>
      </c>
      <c r="AI268" s="56">
        <f>'[2]Изложницы без бурта'!G268</f>
        <v>0</v>
      </c>
      <c r="AJ268" s="56">
        <f>'[2]Изложницы без бурта'!H268</f>
        <v>0</v>
      </c>
      <c r="AK268" s="56">
        <f>'[2]Изложницы без бурта'!I268</f>
        <v>0</v>
      </c>
      <c r="AL268" s="56" t="s">
        <v>589</v>
      </c>
      <c r="AM268" s="56">
        <f>'[2]Изложницы без бурта'!K268</f>
        <v>0</v>
      </c>
    </row>
    <row r="269" spans="1:39" ht="15.6" x14ac:dyDescent="0.3">
      <c r="A269" s="271"/>
      <c r="B269" s="275" t="e">
        <f>B264*B264*3.1415926*B267*B268/4000000</f>
        <v>#N/A</v>
      </c>
      <c r="C269" s="276" t="s">
        <v>88</v>
      </c>
      <c r="D269" s="265"/>
      <c r="E269" s="276" t="s">
        <v>205</v>
      </c>
      <c r="F269" s="265"/>
      <c r="G269" s="266"/>
      <c r="H269" s="274"/>
      <c r="I269" s="134"/>
      <c r="J269" s="134"/>
      <c r="K269" s="225"/>
      <c r="L269" s="134"/>
      <c r="M269" s="134"/>
      <c r="N269" s="447"/>
      <c r="O269" s="447"/>
      <c r="P269" s="447"/>
      <c r="Q269" s="134"/>
      <c r="R269" s="134"/>
      <c r="AB269" s="253" t="str">
        <f t="shared" si="10"/>
        <v/>
      </c>
      <c r="AC269" s="254" t="str">
        <f>IF(COUNTIF(AD$78:AD269,AD269)=1,MAX(AC$78:AC268)+1,"")</f>
        <v/>
      </c>
      <c r="AD269" s="215">
        <f>'[2]Изложницы без бурта'!B269</f>
        <v>145</v>
      </c>
      <c r="AE269" s="215">
        <f>'[2]Изложницы без бурта'!C269</f>
        <v>265</v>
      </c>
      <c r="AF269" s="56">
        <f>'[2]Изложницы без бурта'!D269</f>
        <v>285</v>
      </c>
      <c r="AG269" s="56">
        <f>'[2]Изложницы без бурта'!E269</f>
        <v>320</v>
      </c>
      <c r="AH269" s="56" t="str">
        <f>'[2]Изложницы без бурта'!F269</f>
        <v>72.11870 - 3</v>
      </c>
      <c r="AI269" s="56">
        <f>'[2]Изложницы без бурта'!G269</f>
        <v>0</v>
      </c>
      <c r="AJ269" s="56">
        <f>'[2]Изложницы без бурта'!H269</f>
        <v>0</v>
      </c>
      <c r="AK269" s="56">
        <f>'[2]Изложницы без бурта'!I269</f>
        <v>0</v>
      </c>
      <c r="AL269" s="56" t="s">
        <v>589</v>
      </c>
      <c r="AM269" s="56">
        <f>'[2]Изложницы без бурта'!K269</f>
        <v>0</v>
      </c>
    </row>
    <row r="270" spans="1:39" ht="15.6" x14ac:dyDescent="0.3">
      <c r="A270" s="271"/>
      <c r="B270" s="265"/>
      <c r="C270" s="270">
        <v>50</v>
      </c>
      <c r="D270" s="272">
        <f>C270</f>
        <v>50</v>
      </c>
      <c r="E270" s="270">
        <f>'Втулка с буртом'!M4</f>
        <v>597</v>
      </c>
      <c r="F270" s="277" t="e">
        <f>2*3.1415926*E273/2</f>
        <v>#N/A</v>
      </c>
      <c r="G270" s="266"/>
      <c r="H270" s="274"/>
      <c r="I270" s="134"/>
      <c r="J270" s="134"/>
      <c r="K270" s="225"/>
      <c r="L270" s="134"/>
      <c r="M270" s="134"/>
      <c r="N270" s="447"/>
      <c r="O270" s="447"/>
      <c r="P270" s="447"/>
      <c r="Q270" s="134"/>
      <c r="R270" s="134"/>
      <c r="AB270" s="253" t="str">
        <f t="shared" si="10"/>
        <v/>
      </c>
      <c r="AC270" s="254" t="str">
        <f>IF(COUNTIF(AD$78:AD270,AD270)=1,MAX(AC$78:AC269)+1,"")</f>
        <v/>
      </c>
      <c r="AD270" s="215">
        <f>'[2]Изложницы без бурта'!B270</f>
        <v>145</v>
      </c>
      <c r="AE270" s="215">
        <f>'[2]Изложницы без бурта'!C270</f>
        <v>265</v>
      </c>
      <c r="AF270" s="56">
        <f>'[2]Изложницы без бурта'!D270</f>
        <v>285</v>
      </c>
      <c r="AG270" s="56">
        <f>'[2]Изложницы без бурта'!E270</f>
        <v>320</v>
      </c>
      <c r="AH270" s="56" t="str">
        <f>'[2]Изложницы без бурта'!F270</f>
        <v>72.11870 - 3</v>
      </c>
      <c r="AI270" s="56">
        <f>'[2]Изложницы без бурта'!G270</f>
        <v>0</v>
      </c>
      <c r="AJ270" s="56">
        <f>'[2]Изложницы без бурта'!H270</f>
        <v>0</v>
      </c>
      <c r="AK270" s="56">
        <f>'[2]Изложницы без бурта'!I270</f>
        <v>0</v>
      </c>
      <c r="AL270" s="56" t="s">
        <v>589</v>
      </c>
      <c r="AM270" s="56">
        <f>'[2]Изложницы без бурта'!K270</f>
        <v>0</v>
      </c>
    </row>
    <row r="271" spans="1:39" ht="15.6" x14ac:dyDescent="0.3">
      <c r="A271" s="271"/>
      <c r="B271" s="266"/>
      <c r="C271" s="276" t="s">
        <v>174</v>
      </c>
      <c r="D271" s="265"/>
      <c r="E271" s="276" t="s">
        <v>206</v>
      </c>
      <c r="F271" s="265"/>
      <c r="G271" s="276" t="s">
        <v>207</v>
      </c>
      <c r="H271" s="274"/>
      <c r="I271" s="134"/>
      <c r="J271" s="134"/>
      <c r="K271" s="225"/>
      <c r="L271" s="134"/>
      <c r="M271" s="134"/>
      <c r="N271" s="447"/>
      <c r="O271" s="447"/>
      <c r="P271" s="447"/>
      <c r="Q271" s="134"/>
      <c r="R271" s="134"/>
      <c r="AB271" s="253" t="str">
        <f t="shared" si="10"/>
        <v/>
      </c>
      <c r="AC271" s="254" t="str">
        <f>IF(COUNTIF(AD$78:AD271,AD271)=1,MAX(AC$78:AC270)+1,"")</f>
        <v/>
      </c>
      <c r="AD271" s="215">
        <f>'[2]Изложницы без бурта'!B271</f>
        <v>145</v>
      </c>
      <c r="AE271" s="215">
        <f>'[2]Изложницы без бурта'!C271</f>
        <v>265</v>
      </c>
      <c r="AF271" s="56">
        <f>'[2]Изложницы без бурта'!D271</f>
        <v>285</v>
      </c>
      <c r="AG271" s="56">
        <f>'[2]Изложницы без бурта'!E271</f>
        <v>320</v>
      </c>
      <c r="AH271" s="56" t="str">
        <f>'[2]Изложницы без бурта'!F271</f>
        <v>72.11870 - 3</v>
      </c>
      <c r="AI271" s="56">
        <f>'[2]Изложницы без бурта'!G271</f>
        <v>0</v>
      </c>
      <c r="AJ271" s="56">
        <f>'[2]Изложницы без бурта'!H271</f>
        <v>0</v>
      </c>
      <c r="AK271" s="56">
        <f>'[2]Изложницы без бурта'!I271</f>
        <v>0</v>
      </c>
      <c r="AL271" s="56" t="s">
        <v>589</v>
      </c>
      <c r="AM271" s="56">
        <f>'[2]Изложницы без бурта'!K271</f>
        <v>0</v>
      </c>
    </row>
    <row r="272" spans="1:39" ht="15.6" x14ac:dyDescent="0.3">
      <c r="A272" s="271"/>
      <c r="B272" s="266"/>
      <c r="C272" s="270" t="e">
        <f>VLOOKUP(B257,A60:I66,2,FALSE)</f>
        <v>#N/A</v>
      </c>
      <c r="D272" s="272" t="e">
        <f>C272</f>
        <v>#N/A</v>
      </c>
      <c r="E272" s="276" t="s">
        <v>208</v>
      </c>
      <c r="F272" s="265"/>
      <c r="G272" s="270">
        <v>270</v>
      </c>
      <c r="H272" s="274"/>
      <c r="I272" s="134"/>
      <c r="J272" s="134"/>
      <c r="K272" s="225"/>
      <c r="L272" s="134"/>
      <c r="M272" s="134"/>
      <c r="N272" s="447"/>
      <c r="O272" s="447"/>
      <c r="P272" s="447"/>
      <c r="Q272" s="134"/>
      <c r="R272" s="134"/>
      <c r="AB272" s="253" t="str">
        <f t="shared" si="10"/>
        <v/>
      </c>
      <c r="AC272" s="254" t="str">
        <f>IF(COUNTIF(AD$78:AD272,AD272)=1,MAX(AC$78:AC271)+1,"")</f>
        <v/>
      </c>
      <c r="AD272" s="215">
        <f>'[2]Изложницы без бурта'!B272</f>
        <v>145</v>
      </c>
      <c r="AE272" s="215">
        <f>'[2]Изложницы без бурта'!C272</f>
        <v>265</v>
      </c>
      <c r="AF272" s="56">
        <f>'[2]Изложницы без бурта'!D272</f>
        <v>285</v>
      </c>
      <c r="AG272" s="56">
        <f>'[2]Изложницы без бурта'!E272</f>
        <v>320</v>
      </c>
      <c r="AH272" s="56" t="str">
        <f>'[2]Изложницы без бурта'!F272</f>
        <v>72.11870 - 3</v>
      </c>
      <c r="AI272" s="56">
        <f>'[2]Изложницы без бурта'!G272</f>
        <v>0</v>
      </c>
      <c r="AJ272" s="56">
        <f>'[2]Изложницы без бурта'!H272</f>
        <v>0</v>
      </c>
      <c r="AK272" s="56">
        <f>'[2]Изложницы без бурта'!I272</f>
        <v>0</v>
      </c>
      <c r="AL272" s="56" t="s">
        <v>589</v>
      </c>
      <c r="AM272" s="56">
        <f>'[2]Изложницы без бурта'!K272</f>
        <v>0</v>
      </c>
    </row>
    <row r="273" spans="1:39" ht="15.6" x14ac:dyDescent="0.3">
      <c r="A273" s="271"/>
      <c r="B273" s="266"/>
      <c r="C273" s="266"/>
      <c r="D273" s="273">
        <f>B268</f>
        <v>9.3000000000000007</v>
      </c>
      <c r="E273" s="265" t="e">
        <f>E270+C270+E268</f>
        <v>#N/A</v>
      </c>
      <c r="F273" s="273">
        <f>B268</f>
        <v>9.3000000000000007</v>
      </c>
      <c r="G273" s="265" t="s">
        <v>209</v>
      </c>
      <c r="H273" s="274"/>
      <c r="I273" s="134"/>
      <c r="J273" s="134"/>
      <c r="K273" s="225"/>
      <c r="L273" s="134"/>
      <c r="M273" s="134"/>
      <c r="N273" s="447"/>
      <c r="O273" s="447"/>
      <c r="P273" s="447"/>
      <c r="Q273" s="134"/>
      <c r="R273" s="134"/>
      <c r="AB273" s="253" t="str">
        <f t="shared" si="10"/>
        <v/>
      </c>
      <c r="AC273" s="254" t="str">
        <f>IF(COUNTIF(AD$78:AD273,AD273)=1,MAX(AC$78:AC272)+1,"")</f>
        <v/>
      </c>
      <c r="AD273" s="215">
        <f>'[2]Изложницы без бурта'!B273</f>
        <v>145</v>
      </c>
      <c r="AE273" s="215">
        <f>'[2]Изложницы без бурта'!C273</f>
        <v>265</v>
      </c>
      <c r="AF273" s="56">
        <f>'[2]Изложницы без бурта'!D273</f>
        <v>285</v>
      </c>
      <c r="AG273" s="56">
        <f>'[2]Изложницы без бурта'!E273</f>
        <v>320</v>
      </c>
      <c r="AH273" s="56" t="str">
        <f>'[2]Изложницы без бурта'!F273</f>
        <v>72.11870 - 3</v>
      </c>
      <c r="AI273" s="56">
        <f>'[2]Изложницы без бурта'!G273</f>
        <v>0</v>
      </c>
      <c r="AJ273" s="56">
        <f>'[2]Изложницы без бурта'!H273</f>
        <v>0</v>
      </c>
      <c r="AK273" s="56">
        <f>'[2]Изложницы без бурта'!I273</f>
        <v>0</v>
      </c>
      <c r="AL273" s="56" t="s">
        <v>589</v>
      </c>
      <c r="AM273" s="56">
        <f>'[2]Изложницы без бурта'!K273</f>
        <v>0</v>
      </c>
    </row>
    <row r="274" spans="1:39" ht="16.2" thickBot="1" x14ac:dyDescent="0.35">
      <c r="A274" s="278"/>
      <c r="B274" s="279"/>
      <c r="C274" s="279"/>
      <c r="D274" s="280" t="e">
        <f>D266*D268*D270*D272*D273/1000000</f>
        <v>#N/A</v>
      </c>
      <c r="E274" s="279"/>
      <c r="F274" s="281" t="e">
        <f>F266*F268*F270*F273/1000000</f>
        <v>#N/A</v>
      </c>
      <c r="G274" s="280" t="e">
        <f>F274/360*G272</f>
        <v>#N/A</v>
      </c>
      <c r="H274" s="282" t="e">
        <f>B269+D274+G274</f>
        <v>#N/A</v>
      </c>
      <c r="I274" s="283"/>
      <c r="J274" s="134"/>
      <c r="K274" s="225"/>
      <c r="L274" s="134"/>
      <c r="M274" s="134"/>
      <c r="N274" s="447"/>
      <c r="O274" s="447"/>
      <c r="P274" s="447"/>
      <c r="Q274" s="134"/>
      <c r="R274" s="134"/>
      <c r="AB274" s="253" t="str">
        <f t="shared" si="10"/>
        <v/>
      </c>
      <c r="AC274" s="254">
        <f>IF(COUNTIF(AD$78:AD274,AD274)=1,MAX(AC$78:AC273)+1,"")</f>
        <v>25</v>
      </c>
      <c r="AD274" s="215">
        <f>'[2]Изложницы без бурта'!B274</f>
        <v>147.5</v>
      </c>
      <c r="AE274" s="215">
        <f>'[2]Изложницы без бурта'!C274</f>
        <v>380</v>
      </c>
      <c r="AF274" s="56">
        <f>'[2]Изложницы без бурта'!D274</f>
        <v>285</v>
      </c>
      <c r="AG274" s="56">
        <f>'[2]Изложницы без бурта'!E274</f>
        <v>320</v>
      </c>
      <c r="AH274" s="56" t="str">
        <f>'[2]Изложницы без бурта'!F274</f>
        <v>72.42461 - 4</v>
      </c>
      <c r="AI274" s="56">
        <f>'[2]Изложницы без бурта'!G274</f>
        <v>0</v>
      </c>
      <c r="AJ274" s="56">
        <f>'[2]Изложницы без бурта'!H274</f>
        <v>0</v>
      </c>
      <c r="AK274" s="56">
        <f>'[2]Изложницы без бурта'!I274</f>
        <v>0</v>
      </c>
      <c r="AL274" s="56" t="s">
        <v>590</v>
      </c>
      <c r="AM274" s="56">
        <f>'[2]Изложницы без бурта'!K274</f>
        <v>0</v>
      </c>
    </row>
    <row r="275" spans="1:39" ht="15.6" x14ac:dyDescent="0.3">
      <c r="A275" s="223"/>
      <c r="B275" s="1268"/>
      <c r="C275" s="134"/>
      <c r="D275" s="134"/>
      <c r="E275" s="134"/>
      <c r="F275" s="134"/>
      <c r="G275" s="134"/>
      <c r="H275" s="134"/>
      <c r="I275" s="134"/>
      <c r="J275" s="134"/>
      <c r="K275" s="225"/>
      <c r="L275" s="134"/>
      <c r="M275" s="134"/>
      <c r="N275" s="447"/>
      <c r="O275" s="447"/>
      <c r="P275" s="447"/>
      <c r="Q275" s="134"/>
      <c r="R275" s="134"/>
      <c r="AB275" s="253" t="str">
        <f t="shared" si="10"/>
        <v/>
      </c>
      <c r="AC275" s="254" t="str">
        <f>IF(COUNTIF(AD$78:AD275,AD275)=1,MAX(AC$78:AC274)+1,"")</f>
        <v/>
      </c>
      <c r="AD275" s="215">
        <f>'[2]Изложницы без бурта'!B275</f>
        <v>147.5</v>
      </c>
      <c r="AE275" s="215">
        <f>'[2]Изложницы без бурта'!C275</f>
        <v>318</v>
      </c>
      <c r="AF275" s="56">
        <f>'[2]Изложницы без бурта'!D275</f>
        <v>285</v>
      </c>
      <c r="AG275" s="56">
        <f>'[2]Изложницы без бурта'!E275</f>
        <v>320</v>
      </c>
      <c r="AH275" s="56" t="str">
        <f>'[2]Изложницы без бурта'!F275</f>
        <v>72.11871 - 4</v>
      </c>
      <c r="AI275" s="56">
        <f>'[2]Изложницы без бурта'!G275</f>
        <v>0</v>
      </c>
      <c r="AJ275" s="56">
        <f>'[2]Изложницы без бурта'!H275</f>
        <v>0</v>
      </c>
      <c r="AK275" s="56">
        <f>'[2]Изложницы без бурта'!I275</f>
        <v>0</v>
      </c>
      <c r="AL275" s="56" t="s">
        <v>590</v>
      </c>
      <c r="AM275" s="56">
        <f>'[2]Изложницы без бурта'!K275</f>
        <v>0</v>
      </c>
    </row>
    <row r="276" spans="1:39" ht="16.2" thickBot="1" x14ac:dyDescent="0.35">
      <c r="A276" s="223" t="s">
        <v>210</v>
      </c>
      <c r="B276" s="1268"/>
      <c r="C276" s="134"/>
      <c r="D276" s="134"/>
      <c r="E276" s="134"/>
      <c r="F276" s="134"/>
      <c r="G276" s="134"/>
      <c r="H276" s="134"/>
      <c r="I276" s="134"/>
      <c r="J276" s="134"/>
      <c r="K276" s="225"/>
      <c r="L276" s="134"/>
      <c r="M276" s="134"/>
      <c r="N276" s="447"/>
      <c r="O276" s="447"/>
      <c r="P276" s="447"/>
      <c r="Q276" s="134"/>
      <c r="R276" s="134"/>
      <c r="AB276" s="253" t="str">
        <f t="shared" si="10"/>
        <v/>
      </c>
      <c r="AC276" s="254" t="str">
        <f>IF(COUNTIF(AD$78:AD276,AD276)=1,MAX(AC$78:AC275)+1,"")</f>
        <v/>
      </c>
      <c r="AD276" s="215">
        <f>'[2]Изложницы без бурта'!B276</f>
        <v>147.5</v>
      </c>
      <c r="AE276" s="215">
        <f>'[2]Изложницы без бурта'!C276</f>
        <v>320</v>
      </c>
      <c r="AF276" s="56">
        <f>'[2]Изложницы без бурта'!D276</f>
        <v>285</v>
      </c>
      <c r="AG276" s="56">
        <f>'[2]Изложницы без бурта'!E276</f>
        <v>320</v>
      </c>
      <c r="AH276" s="56" t="str">
        <f>'[2]Изложницы без бурта'!F276</f>
        <v>72.11871 - 4</v>
      </c>
      <c r="AI276" s="56">
        <f>'[2]Изложницы без бурта'!G276</f>
        <v>0</v>
      </c>
      <c r="AJ276" s="56">
        <f>'[2]Изложницы без бурта'!H276</f>
        <v>0</v>
      </c>
      <c r="AK276" s="56">
        <f>'[2]Изложницы без бурта'!I276</f>
        <v>0</v>
      </c>
      <c r="AL276" s="56" t="s">
        <v>590</v>
      </c>
      <c r="AM276" s="56">
        <f>'[2]Изложницы без бурта'!K276</f>
        <v>0</v>
      </c>
    </row>
    <row r="277" spans="1:39" ht="15.6" x14ac:dyDescent="0.3">
      <c r="A277" s="257" t="s">
        <v>200</v>
      </c>
      <c r="B277" s="258"/>
      <c r="C277" s="259" t="s">
        <v>201</v>
      </c>
      <c r="D277" s="258"/>
      <c r="E277" s="259" t="s">
        <v>149</v>
      </c>
      <c r="F277" s="260"/>
      <c r="G277" s="258"/>
      <c r="H277" s="284" t="s">
        <v>186</v>
      </c>
      <c r="I277" s="261" t="s">
        <v>202</v>
      </c>
      <c r="J277" s="134"/>
      <c r="K277" s="225"/>
      <c r="L277" s="134"/>
      <c r="M277" s="134"/>
      <c r="N277" s="447"/>
      <c r="O277" s="447"/>
      <c r="P277" s="447"/>
      <c r="Q277" s="134"/>
      <c r="R277" s="134"/>
      <c r="AB277" s="253" t="str">
        <f t="shared" si="10"/>
        <v/>
      </c>
      <c r="AC277" s="254" t="str">
        <f>IF(COUNTIF(AD$78:AD277,AD277)=1,MAX(AC$78:AC276)+1,"")</f>
        <v/>
      </c>
      <c r="AD277" s="215">
        <f>'[2]Изложницы без бурта'!B277</f>
        <v>147.5</v>
      </c>
      <c r="AE277" s="215">
        <f>'[2]Изложницы без бурта'!C277</f>
        <v>317</v>
      </c>
      <c r="AF277" s="56">
        <f>'[2]Изложницы без бурта'!D277</f>
        <v>285</v>
      </c>
      <c r="AG277" s="56">
        <f>'[2]Изложницы без бурта'!E277</f>
        <v>320</v>
      </c>
      <c r="AH277" s="56" t="str">
        <f>'[2]Изложницы без бурта'!F277</f>
        <v>72.11871 - 4</v>
      </c>
      <c r="AI277" s="56">
        <f>'[2]Изложницы без бурта'!G277</f>
        <v>0</v>
      </c>
      <c r="AJ277" s="56">
        <f>'[2]Изложницы без бурта'!H277</f>
        <v>0</v>
      </c>
      <c r="AK277" s="56">
        <f>'[2]Изложницы без бурта'!I277</f>
        <v>0</v>
      </c>
      <c r="AL277" s="56" t="s">
        <v>590</v>
      </c>
      <c r="AM277" s="56">
        <f>'[2]Изложницы без бурта'!K277</f>
        <v>0</v>
      </c>
    </row>
    <row r="278" spans="1:39" ht="16.2" thickBot="1" x14ac:dyDescent="0.35">
      <c r="A278" s="1102" t="s">
        <v>203</v>
      </c>
      <c r="B278" s="264"/>
      <c r="C278" s="265" t="s">
        <v>150</v>
      </c>
      <c r="D278" s="265"/>
      <c r="E278" s="265" t="s">
        <v>178</v>
      </c>
      <c r="F278" s="266"/>
      <c r="G278" s="265"/>
      <c r="H278" s="285" t="s">
        <v>179</v>
      </c>
      <c r="I278" s="286"/>
      <c r="J278" s="134"/>
      <c r="K278" s="225"/>
      <c r="L278" s="134"/>
      <c r="M278" s="134"/>
      <c r="N278" s="447"/>
      <c r="O278" s="447"/>
      <c r="P278" s="447"/>
      <c r="Q278" s="134"/>
      <c r="R278" s="134"/>
      <c r="AB278" s="253" t="str">
        <f t="shared" si="10"/>
        <v/>
      </c>
      <c r="AC278" s="254" t="str">
        <f>IF(COUNTIF(AD$78:AD278,AD278)=1,MAX(AC$78:AC277)+1,"")</f>
        <v/>
      </c>
      <c r="AD278" s="215">
        <f>'[2]Изложницы без бурта'!B278</f>
        <v>147.5</v>
      </c>
      <c r="AE278" s="215">
        <f>'[2]Изложницы без бурта'!C278</f>
        <v>263</v>
      </c>
      <c r="AF278" s="56">
        <f>'[2]Изложницы без бурта'!D278</f>
        <v>285</v>
      </c>
      <c r="AG278" s="56">
        <f>'[2]Изложницы без бурта'!E278</f>
        <v>320</v>
      </c>
      <c r="AH278" s="56" t="str">
        <f>'[2]Изложницы без бурта'!F278</f>
        <v>72.11870 - 4</v>
      </c>
      <c r="AI278" s="56">
        <f>'[2]Изложницы без бурта'!G278</f>
        <v>0</v>
      </c>
      <c r="AJ278" s="56">
        <f>'[2]Изложницы без бурта'!H278</f>
        <v>0</v>
      </c>
      <c r="AK278" s="56">
        <f>'[2]Изложницы без бурта'!I278</f>
        <v>0</v>
      </c>
      <c r="AL278" s="56" t="s">
        <v>590</v>
      </c>
      <c r="AM278" s="56">
        <f>'[2]Изложницы без бурта'!K278</f>
        <v>0</v>
      </c>
    </row>
    <row r="279" spans="1:39" ht="15.6" x14ac:dyDescent="0.3">
      <c r="A279" s="1103" t="e">
        <f>VLOOKUP(B257,A74:K78,6,FALSE)</f>
        <v>#N/A</v>
      </c>
      <c r="B279" s="1100" t="e">
        <f>IF(A280=0,A279,A280)</f>
        <v>#N/A</v>
      </c>
      <c r="C279" s="270" t="e">
        <f>VLOOKUP(B257,A74:K78,3,FALSE)</f>
        <v>#N/A</v>
      </c>
      <c r="D279" s="266"/>
      <c r="E279" s="270" t="e">
        <f>VLOOKUP(B257,A74:K78,7,FALSE)</f>
        <v>#N/A</v>
      </c>
      <c r="F279" s="266"/>
      <c r="G279" s="265"/>
      <c r="H279" s="287" t="e">
        <f>VLOOKUP(B257,A74:K78,10,FALSE)</f>
        <v>#N/A</v>
      </c>
      <c r="I279" s="286"/>
      <c r="J279" s="134"/>
      <c r="K279" s="225"/>
      <c r="L279" s="134"/>
      <c r="M279" s="134"/>
      <c r="N279" s="447"/>
      <c r="O279" s="447"/>
      <c r="P279" s="447"/>
      <c r="Q279" s="134"/>
      <c r="R279" s="134"/>
      <c r="AB279" s="253" t="str">
        <f t="shared" ref="AB279:AB309" si="18">IF(MAX(AC279:AC1356)&lt;ROW(201:201),"",VLOOKUP(ROW(201:201),AC279:AD1356,2))</f>
        <v/>
      </c>
      <c r="AC279" s="254" t="str">
        <f>IF(COUNTIF(AD$78:AD279,AD279)=1,MAX(AC$78:AC278)+1,"")</f>
        <v/>
      </c>
      <c r="AD279" s="215">
        <f>'[2]Изложницы без бурта'!B279</f>
        <v>147.5</v>
      </c>
      <c r="AE279" s="215">
        <f>'[2]Изложницы без бурта'!C279</f>
        <v>267</v>
      </c>
      <c r="AF279" s="56">
        <f>'[2]Изложницы без бурта'!D279</f>
        <v>285</v>
      </c>
      <c r="AG279" s="56">
        <f>'[2]Изложницы без бурта'!E279</f>
        <v>320</v>
      </c>
      <c r="AH279" s="56" t="str">
        <f>'[2]Изложницы без бурта'!F279</f>
        <v>72.11870 - 4</v>
      </c>
      <c r="AI279" s="56">
        <f>'[2]Изложницы без бурта'!G279</f>
        <v>0</v>
      </c>
      <c r="AJ279" s="56">
        <f>'[2]Изложницы без бурта'!H279</f>
        <v>0</v>
      </c>
      <c r="AK279" s="56">
        <f>'[2]Изложницы без бурта'!I279</f>
        <v>0</v>
      </c>
      <c r="AL279" s="56" t="s">
        <v>590</v>
      </c>
      <c r="AM279" s="56">
        <f>'[2]Изложницы без бурта'!K279</f>
        <v>0</v>
      </c>
    </row>
    <row r="280" spans="1:39" ht="16.2" thickBot="1" x14ac:dyDescent="0.35">
      <c r="A280" s="1104"/>
      <c r="B280" s="1101"/>
      <c r="C280" s="265" t="s">
        <v>151</v>
      </c>
      <c r="D280" s="265"/>
      <c r="E280" s="265" t="s">
        <v>179</v>
      </c>
      <c r="F280" s="266"/>
      <c r="G280" s="265"/>
      <c r="H280" s="285" t="s">
        <v>152</v>
      </c>
      <c r="I280" s="286"/>
      <c r="J280" s="134"/>
      <c r="K280" s="225"/>
      <c r="L280" s="134"/>
      <c r="M280" s="134"/>
      <c r="N280" s="447"/>
      <c r="O280" s="447"/>
      <c r="P280" s="447"/>
      <c r="Q280" s="134"/>
      <c r="R280" s="134"/>
      <c r="AB280" s="253" t="str">
        <f t="shared" si="18"/>
        <v/>
      </c>
      <c r="AC280" s="254" t="str">
        <f>IF(COUNTIF(AD$78:AD280,AD280)=1,MAX(AC$78:AC279)+1,"")</f>
        <v/>
      </c>
      <c r="AD280" s="215">
        <f>'[2]Изложницы без бурта'!B280</f>
        <v>147.5</v>
      </c>
      <c r="AE280" s="215">
        <f>'[2]Изложницы без бурта'!C280</f>
        <v>318</v>
      </c>
      <c r="AF280" s="56">
        <f>'[2]Изложницы без бурта'!D280</f>
        <v>285</v>
      </c>
      <c r="AG280" s="56">
        <f>'[2]Изложницы без бурта'!E280</f>
        <v>320</v>
      </c>
      <c r="AH280" s="56" t="str">
        <f>'[2]Изложницы без бурта'!F280</f>
        <v>72.11871 - 4</v>
      </c>
      <c r="AI280" s="56">
        <f>'[2]Изложницы без бурта'!G280</f>
        <v>0</v>
      </c>
      <c r="AJ280" s="56">
        <f>'[2]Изложницы без бурта'!H280</f>
        <v>0</v>
      </c>
      <c r="AK280" s="56">
        <f>'[2]Изложницы без бурта'!I280</f>
        <v>0</v>
      </c>
      <c r="AL280" s="56" t="s">
        <v>590</v>
      </c>
      <c r="AM280" s="56">
        <f>'[2]Изложницы без бурта'!K280</f>
        <v>0</v>
      </c>
    </row>
    <row r="281" spans="1:39" ht="16.2" thickBot="1" x14ac:dyDescent="0.35">
      <c r="A281" s="1106" t="s">
        <v>88</v>
      </c>
      <c r="B281" s="264"/>
      <c r="C281" s="270" t="e">
        <f>VLOOKUP(B257,A74:K78,4,FALSE)</f>
        <v>#N/A</v>
      </c>
      <c r="D281" s="272" t="e">
        <f>(C279+C281)/2</f>
        <v>#N/A</v>
      </c>
      <c r="E281" s="270" t="e">
        <f>VLOOKUP(B257,A74:K78,8,FALSE)</f>
        <v>#N/A</v>
      </c>
      <c r="F281" s="265" t="e">
        <f>(E279+E281)/2</f>
        <v>#N/A</v>
      </c>
      <c r="G281" s="266"/>
      <c r="H281" s="287" t="e">
        <f>VLOOKUP(B257,A74:K78,11,FALSE)</f>
        <v>#N/A</v>
      </c>
      <c r="I281" s="286"/>
      <c r="J281" s="134"/>
      <c r="K281" s="225"/>
      <c r="L281" s="134"/>
      <c r="M281" s="134"/>
      <c r="N281" s="447"/>
      <c r="O281" s="447"/>
      <c r="P281" s="447"/>
      <c r="Q281" s="134"/>
      <c r="R281" s="134"/>
      <c r="AB281" s="253" t="str">
        <f t="shared" si="18"/>
        <v/>
      </c>
      <c r="AC281" s="254" t="str">
        <f>IF(COUNTIF(AD$78:AD281,AD281)=1,MAX(AC$78:AC280)+1,"")</f>
        <v/>
      </c>
      <c r="AD281" s="215">
        <f>'[2]Изложницы без бурта'!B281</f>
        <v>147.5</v>
      </c>
      <c r="AE281" s="215">
        <f>'[2]Изложницы без бурта'!C281</f>
        <v>375</v>
      </c>
      <c r="AF281" s="56">
        <f>'[2]Изложницы без бурта'!D281</f>
        <v>285</v>
      </c>
      <c r="AG281" s="56">
        <f>'[2]Изложницы без бурта'!E281</f>
        <v>320</v>
      </c>
      <c r="AH281" s="56" t="str">
        <f>'[2]Изложницы без бурта'!F281</f>
        <v>72.42461 - 4</v>
      </c>
      <c r="AI281" s="56">
        <f>'[2]Изложницы без бурта'!G281</f>
        <v>0</v>
      </c>
      <c r="AJ281" s="56">
        <f>'[2]Изложницы без бурта'!H281</f>
        <v>0</v>
      </c>
      <c r="AK281" s="56">
        <f>'[2]Изложницы без бурта'!I281</f>
        <v>0</v>
      </c>
      <c r="AL281" s="56" t="s">
        <v>590</v>
      </c>
      <c r="AM281" s="56">
        <f>'[2]Изложницы без бурта'!K281</f>
        <v>0</v>
      </c>
    </row>
    <row r="282" spans="1:39" ht="15.6" x14ac:dyDescent="0.3">
      <c r="A282" s="1103">
        <f>'Втулка с буртом'!M7+'Втулка с буртом'!M11</f>
        <v>1244</v>
      </c>
      <c r="B282" s="1100">
        <f>IF(A283=0,A282,A283)</f>
        <v>1244</v>
      </c>
      <c r="C282" s="265" t="s">
        <v>152</v>
      </c>
      <c r="D282" s="265"/>
      <c r="E282" s="265" t="s">
        <v>204</v>
      </c>
      <c r="F282" s="265"/>
      <c r="G282" s="266"/>
      <c r="H282" s="288" t="s">
        <v>219</v>
      </c>
      <c r="I282" s="286"/>
      <c r="J282" s="134"/>
      <c r="K282" s="225"/>
      <c r="L282" s="134"/>
      <c r="M282" s="134"/>
      <c r="N282" s="447"/>
      <c r="O282" s="447"/>
      <c r="P282" s="447"/>
      <c r="Q282" s="134"/>
      <c r="R282" s="134"/>
      <c r="AB282" s="253" t="str">
        <f t="shared" ref="AB282:AB306" si="19">IF(MAX(AC282:AC1359)&lt;ROW(204:204),"",VLOOKUP(ROW(204:204),AC282:AD1359,2))</f>
        <v/>
      </c>
      <c r="AC282" s="254" t="str">
        <f>IF(COUNTIF(AD$78:AD282,AD282)=1,MAX(AC$78:AC281)+1,"")</f>
        <v/>
      </c>
      <c r="AD282" s="215">
        <f>'[2]Изложницы без бурта'!B282</f>
        <v>147.5</v>
      </c>
      <c r="AE282" s="215">
        <f>'[2]Изложницы без бурта'!C282</f>
        <v>265</v>
      </c>
      <c r="AF282" s="56">
        <f>'[2]Изложницы без бурта'!D282</f>
        <v>285</v>
      </c>
      <c r="AG282" s="56">
        <f>'[2]Изложницы без бурта'!E282</f>
        <v>320</v>
      </c>
      <c r="AH282" s="56" t="str">
        <f>'[2]Изложницы без бурта'!F282</f>
        <v>72.11870 - 4</v>
      </c>
      <c r="AI282" s="56">
        <f>'[2]Изложницы без бурта'!G282</f>
        <v>0</v>
      </c>
      <c r="AJ282" s="56">
        <f>'[2]Изложницы без бурта'!H282</f>
        <v>0</v>
      </c>
      <c r="AK282" s="56">
        <f>'[2]Изложницы без бурта'!I282</f>
        <v>0</v>
      </c>
      <c r="AL282" s="56" t="s">
        <v>590</v>
      </c>
      <c r="AM282" s="56">
        <f>'[2]Изложницы без бурта'!K282</f>
        <v>0</v>
      </c>
    </row>
    <row r="283" spans="1:39" ht="16.2" thickBot="1" x14ac:dyDescent="0.35">
      <c r="A283" s="1104"/>
      <c r="B283" s="1105">
        <f>'Втулка с буртом'!M8</f>
        <v>9.3000000000000007</v>
      </c>
      <c r="C283" s="270" t="e">
        <f>VLOOKUP(B257,A74:K78,5,FALSE)</f>
        <v>#N/A</v>
      </c>
      <c r="D283" s="272" t="e">
        <f>C283</f>
        <v>#N/A</v>
      </c>
      <c r="E283" s="270" t="e">
        <f>VLOOKUP(B257,A74:K78,9,FALSE)</f>
        <v>#N/A</v>
      </c>
      <c r="F283" s="265" t="e">
        <f>E283</f>
        <v>#N/A</v>
      </c>
      <c r="G283" s="266"/>
      <c r="H283" s="266" t="e">
        <f>(H279*H279*3.1415926*H281*B283/4000000)*2</f>
        <v>#N/A</v>
      </c>
      <c r="I283" s="286"/>
      <c r="J283" s="134"/>
      <c r="K283" s="225"/>
      <c r="L283" s="134"/>
      <c r="M283" s="134"/>
      <c r="N283" s="447"/>
      <c r="O283" s="447"/>
      <c r="P283" s="447"/>
      <c r="Q283" s="134"/>
      <c r="R283" s="134"/>
      <c r="AB283" s="253" t="str">
        <f t="shared" si="19"/>
        <v/>
      </c>
      <c r="AC283" s="254" t="str">
        <f>IF(COUNTIF(AD$78:AD283,AD283)=1,MAX(AC$78:AC282)+1,"")</f>
        <v/>
      </c>
      <c r="AD283" s="215">
        <f>'[2]Изложницы без бурта'!B283</f>
        <v>147.5</v>
      </c>
      <c r="AE283" s="215">
        <f>'[2]Изложницы без бурта'!C283</f>
        <v>263</v>
      </c>
      <c r="AF283" s="56">
        <f>'[2]Изложницы без бурта'!D283</f>
        <v>285</v>
      </c>
      <c r="AG283" s="56">
        <f>'[2]Изложницы без бурта'!E283</f>
        <v>320</v>
      </c>
      <c r="AH283" s="56" t="str">
        <f>'[2]Изложницы без бурта'!F283</f>
        <v>72.11870 - 4</v>
      </c>
      <c r="AI283" s="56">
        <f>'[2]Изложницы без бурта'!G283</f>
        <v>0</v>
      </c>
      <c r="AJ283" s="56">
        <f>'[2]Изложницы без бурта'!H283</f>
        <v>0</v>
      </c>
      <c r="AK283" s="56">
        <f>'[2]Изложницы без бурта'!I283</f>
        <v>0</v>
      </c>
      <c r="AL283" s="56" t="s">
        <v>590</v>
      </c>
      <c r="AM283" s="56">
        <f>'[2]Изложницы без бурта'!K283</f>
        <v>0</v>
      </c>
    </row>
    <row r="284" spans="1:39" ht="15.6" x14ac:dyDescent="0.3">
      <c r="A284" s="1107"/>
      <c r="B284" s="275" t="e">
        <f>B279*B279*3.1415926*B282*B283/4000000</f>
        <v>#N/A</v>
      </c>
      <c r="C284" s="276" t="s">
        <v>88</v>
      </c>
      <c r="D284" s="265"/>
      <c r="E284" s="276" t="s">
        <v>205</v>
      </c>
      <c r="F284" s="265"/>
      <c r="G284" s="266"/>
      <c r="H284" s="266"/>
      <c r="I284" s="286"/>
      <c r="J284" s="134"/>
      <c r="K284" s="225"/>
      <c r="L284" s="134"/>
      <c r="M284" s="134"/>
      <c r="N284" s="447"/>
      <c r="O284" s="447"/>
      <c r="P284" s="447"/>
      <c r="Q284" s="134"/>
      <c r="R284" s="134"/>
      <c r="AB284" s="253" t="str">
        <f t="shared" si="19"/>
        <v/>
      </c>
      <c r="AC284" s="254">
        <f>IF(COUNTIF(AD$78:AD284,AD284)=1,MAX(AC$78:AC283)+1,"")</f>
        <v>26</v>
      </c>
      <c r="AD284" s="215">
        <f>'[2]Изложницы без бурта'!B284</f>
        <v>150</v>
      </c>
      <c r="AE284" s="215">
        <f>'[2]Изложницы без бурта'!C284</f>
        <v>315</v>
      </c>
      <c r="AF284" s="56">
        <f>'[2]Изложницы без бурта'!D284</f>
        <v>285</v>
      </c>
      <c r="AG284" s="56">
        <f>'[2]Изложницы без бурта'!E284</f>
        <v>320</v>
      </c>
      <c r="AH284" s="56" t="str">
        <f>'[2]Изложницы без бурта'!F284</f>
        <v>72.11871 - 5</v>
      </c>
      <c r="AI284" s="56">
        <f>'[2]Изложницы без бурта'!G284</f>
        <v>7260006</v>
      </c>
      <c r="AJ284" s="56">
        <f>'[2]Изложницы без бурта'!H284</f>
        <v>0</v>
      </c>
      <c r="AK284" s="56">
        <f>'[2]Изложницы без бурта'!I284</f>
        <v>0</v>
      </c>
      <c r="AL284" s="56" t="s">
        <v>591</v>
      </c>
      <c r="AM284" s="56">
        <f>'[2]Изложницы без бурта'!K284</f>
        <v>0</v>
      </c>
    </row>
    <row r="285" spans="1:39" ht="15.6" x14ac:dyDescent="0.3">
      <c r="A285" s="271"/>
      <c r="B285" s="265"/>
      <c r="C285" s="270">
        <v>50</v>
      </c>
      <c r="D285" s="272">
        <f>C285</f>
        <v>50</v>
      </c>
      <c r="E285" s="270">
        <f>'Втулка с буртом'!M4</f>
        <v>597</v>
      </c>
      <c r="F285" s="277" t="e">
        <f>2*3.1415926*E288/2</f>
        <v>#N/A</v>
      </c>
      <c r="G285" s="266"/>
      <c r="H285" s="266"/>
      <c r="I285" s="286"/>
      <c r="J285" s="134"/>
      <c r="K285" s="225"/>
      <c r="L285" s="134"/>
      <c r="M285" s="134"/>
      <c r="N285" s="447"/>
      <c r="O285" s="447"/>
      <c r="P285" s="447"/>
      <c r="Q285" s="134"/>
      <c r="R285" s="134"/>
      <c r="AB285" s="253" t="str">
        <f t="shared" si="19"/>
        <v/>
      </c>
      <c r="AC285" s="254" t="str">
        <f>IF(COUNTIF(AD$78:AD285,AD285)=1,MAX(AC$78:AC284)+1,"")</f>
        <v/>
      </c>
      <c r="AD285" s="215">
        <f>'[2]Изложницы без бурта'!B285</f>
        <v>150</v>
      </c>
      <c r="AE285" s="215">
        <f>'[2]Изложницы без бурта'!C285</f>
        <v>320</v>
      </c>
      <c r="AF285" s="56">
        <f>'[2]Изложницы без бурта'!D285</f>
        <v>285</v>
      </c>
      <c r="AG285" s="56">
        <f>'[2]Изложницы без бурта'!E285</f>
        <v>320</v>
      </c>
      <c r="AH285" s="56" t="str">
        <f>'[2]Изложницы без бурта'!F285</f>
        <v>72.11871 - 5</v>
      </c>
      <c r="AI285" s="56">
        <f>'[2]Изложницы без бурта'!G285</f>
        <v>7260006</v>
      </c>
      <c r="AJ285" s="56">
        <f>'[2]Изложницы без бурта'!H285</f>
        <v>0</v>
      </c>
      <c r="AK285" s="56">
        <f>'[2]Изложницы без бурта'!I285</f>
        <v>0</v>
      </c>
      <c r="AL285" s="56" t="s">
        <v>591</v>
      </c>
      <c r="AM285" s="56">
        <f>'[2]Изложницы без бурта'!K285</f>
        <v>0</v>
      </c>
    </row>
    <row r="286" spans="1:39" ht="15.6" x14ac:dyDescent="0.3">
      <c r="A286" s="271"/>
      <c r="B286" s="266"/>
      <c r="C286" s="276" t="s">
        <v>174</v>
      </c>
      <c r="D286" s="265"/>
      <c r="E286" s="276" t="s">
        <v>206</v>
      </c>
      <c r="F286" s="265"/>
      <c r="G286" s="276" t="s">
        <v>207</v>
      </c>
      <c r="H286" s="266"/>
      <c r="I286" s="286"/>
      <c r="J286" s="134"/>
      <c r="K286" s="225"/>
      <c r="L286" s="134"/>
      <c r="M286" s="134"/>
      <c r="N286" s="447"/>
      <c r="O286" s="447"/>
      <c r="P286" s="447"/>
      <c r="Q286" s="134"/>
      <c r="R286" s="134"/>
      <c r="AB286" s="253" t="str">
        <f t="shared" si="19"/>
        <v/>
      </c>
      <c r="AC286" s="254" t="str">
        <f>IF(COUNTIF(AD$78:AD286,AD286)=1,MAX(AC$78:AC285)+1,"")</f>
        <v/>
      </c>
      <c r="AD286" s="215">
        <f>'[2]Изложницы без бурта'!B286</f>
        <v>150</v>
      </c>
      <c r="AE286" s="215">
        <f>'[2]Изложницы без бурта'!C286</f>
        <v>250</v>
      </c>
      <c r="AF286" s="56">
        <f>'[2]Изложницы без бурта'!D286</f>
        <v>285</v>
      </c>
      <c r="AG286" s="56">
        <f>'[2]Изложницы без бурта'!E286</f>
        <v>320</v>
      </c>
      <c r="AH286" s="56" t="str">
        <f>'[2]Изложницы без бурта'!F286</f>
        <v>72.11870 - 5</v>
      </c>
      <c r="AI286" s="56">
        <f>'[2]Изложницы без бурта'!G286</f>
        <v>0</v>
      </c>
      <c r="AJ286" s="56">
        <f>'[2]Изложницы без бурта'!H286</f>
        <v>0</v>
      </c>
      <c r="AK286" s="56">
        <f>'[2]Изложницы без бурта'!I286</f>
        <v>0</v>
      </c>
      <c r="AL286" s="56" t="s">
        <v>591</v>
      </c>
      <c r="AM286" s="56">
        <f>'[2]Изложницы без бурта'!K286</f>
        <v>0</v>
      </c>
    </row>
    <row r="287" spans="1:39" ht="15.6" x14ac:dyDescent="0.3">
      <c r="A287" s="271"/>
      <c r="B287" s="266"/>
      <c r="C287" s="270" t="e">
        <f>VLOOKUP(B257,A74:K78,2,FALSE)</f>
        <v>#N/A</v>
      </c>
      <c r="D287" s="272" t="e">
        <f>C287</f>
        <v>#N/A</v>
      </c>
      <c r="E287" s="276" t="s">
        <v>208</v>
      </c>
      <c r="F287" s="265"/>
      <c r="G287" s="270">
        <v>210</v>
      </c>
      <c r="H287" s="266"/>
      <c r="I287" s="286"/>
      <c r="J287" s="134"/>
      <c r="K287" s="225"/>
      <c r="L287" s="134"/>
      <c r="M287" s="134"/>
      <c r="N287" s="447"/>
      <c r="O287" s="447"/>
      <c r="P287" s="447"/>
      <c r="Q287" s="134"/>
      <c r="R287" s="134"/>
      <c r="AB287" s="253" t="str">
        <f t="shared" si="19"/>
        <v/>
      </c>
      <c r="AC287" s="254" t="str">
        <f>IF(COUNTIF(AD$78:AD287,AD287)=1,MAX(AC$78:AC286)+1,"")</f>
        <v/>
      </c>
      <c r="AD287" s="215">
        <f>'[2]Изложницы без бурта'!B287</f>
        <v>150</v>
      </c>
      <c r="AE287" s="215">
        <f>'[2]Изложницы без бурта'!C287</f>
        <v>264</v>
      </c>
      <c r="AF287" s="56">
        <f>'[2]Изложницы без бурта'!D287</f>
        <v>285</v>
      </c>
      <c r="AG287" s="56">
        <f>'[2]Изложницы без бурта'!E287</f>
        <v>320</v>
      </c>
      <c r="AH287" s="56" t="str">
        <f>'[2]Изложницы без бурта'!F287</f>
        <v>72.11870 - 5</v>
      </c>
      <c r="AI287" s="56">
        <f>'[2]Изложницы без бурта'!G287</f>
        <v>0</v>
      </c>
      <c r="AJ287" s="56">
        <f>'[2]Изложницы без бурта'!H287</f>
        <v>0</v>
      </c>
      <c r="AK287" s="56">
        <f>'[2]Изложницы без бурта'!I287</f>
        <v>0</v>
      </c>
      <c r="AL287" s="56" t="s">
        <v>591</v>
      </c>
      <c r="AM287" s="56">
        <f>'[2]Изложницы без бурта'!K287</f>
        <v>0</v>
      </c>
    </row>
    <row r="288" spans="1:39" ht="15.6" x14ac:dyDescent="0.3">
      <c r="A288" s="271"/>
      <c r="B288" s="266"/>
      <c r="C288" s="266"/>
      <c r="D288" s="273">
        <f>B283</f>
        <v>9.3000000000000007</v>
      </c>
      <c r="E288" s="265" t="e">
        <f>E285+C285+E283</f>
        <v>#N/A</v>
      </c>
      <c r="F288" s="273">
        <f>B283</f>
        <v>9.3000000000000007</v>
      </c>
      <c r="G288" s="265" t="s">
        <v>209</v>
      </c>
      <c r="H288" s="266"/>
      <c r="I288" s="286"/>
      <c r="J288" s="134"/>
      <c r="K288" s="225"/>
      <c r="L288" s="134"/>
      <c r="M288" s="134"/>
      <c r="N288" s="447"/>
      <c r="O288" s="447"/>
      <c r="P288" s="447"/>
      <c r="Q288" s="134"/>
      <c r="R288" s="134"/>
      <c r="AB288" s="253" t="str">
        <f t="shared" si="19"/>
        <v/>
      </c>
      <c r="AC288" s="254" t="str">
        <f>IF(COUNTIF(AD$78:AD288,AD288)=1,MAX(AC$78:AC287)+1,"")</f>
        <v/>
      </c>
      <c r="AD288" s="215">
        <f>'[2]Изложницы без бурта'!B288</f>
        <v>150</v>
      </c>
      <c r="AE288" s="215">
        <f>'[2]Изложницы без бурта'!C288</f>
        <v>320</v>
      </c>
      <c r="AF288" s="56">
        <f>'[2]Изложницы без бурта'!D288</f>
        <v>285</v>
      </c>
      <c r="AG288" s="56">
        <f>'[2]Изложницы без бурта'!E288</f>
        <v>320</v>
      </c>
      <c r="AH288" s="56" t="str">
        <f>'[2]Изложницы без бурта'!F288</f>
        <v>72.11871 - 5</v>
      </c>
      <c r="AI288" s="56">
        <f>'[2]Изложницы без бурта'!G288</f>
        <v>7260006</v>
      </c>
      <c r="AJ288" s="56">
        <f>'[2]Изложницы без бурта'!H288</f>
        <v>0</v>
      </c>
      <c r="AK288" s="56">
        <f>'[2]Изложницы без бурта'!I288</f>
        <v>0</v>
      </c>
      <c r="AL288" s="56" t="s">
        <v>591</v>
      </c>
      <c r="AM288" s="56">
        <f>'[2]Изложницы без бурта'!K288</f>
        <v>0</v>
      </c>
    </row>
    <row r="289" spans="1:39" ht="16.2" thickBot="1" x14ac:dyDescent="0.35">
      <c r="A289" s="278"/>
      <c r="B289" s="279"/>
      <c r="C289" s="279"/>
      <c r="D289" s="280" t="e">
        <f>D281*D283*D285*D287*D288/1000000</f>
        <v>#N/A</v>
      </c>
      <c r="E289" s="279"/>
      <c r="F289" s="281" t="e">
        <f>F281*F283*F285*F288/1000000</f>
        <v>#N/A</v>
      </c>
      <c r="G289" s="280" t="e">
        <f>F289/360*G287</f>
        <v>#N/A</v>
      </c>
      <c r="H289" s="289"/>
      <c r="I289" s="282" t="e">
        <f>B284+D289+G289+H283</f>
        <v>#N/A</v>
      </c>
      <c r="J289" s="134"/>
      <c r="K289" s="225"/>
      <c r="L289" s="134"/>
      <c r="M289" s="134"/>
      <c r="N289" s="447"/>
      <c r="O289" s="447"/>
      <c r="P289" s="447"/>
      <c r="Q289" s="134"/>
      <c r="R289" s="134"/>
      <c r="AB289" s="253" t="str">
        <f t="shared" si="19"/>
        <v/>
      </c>
      <c r="AC289" s="254" t="str">
        <f>IF(COUNTIF(AD$78:AD289,AD289)=1,MAX(AC$78:AC288)+1,"")</f>
        <v/>
      </c>
      <c r="AD289" s="215">
        <f>'[2]Изложницы без бурта'!B289</f>
        <v>150</v>
      </c>
      <c r="AE289" s="215">
        <f>'[2]Изложницы без бурта'!C289</f>
        <v>263</v>
      </c>
      <c r="AF289" s="56">
        <f>'[2]Изложницы без бурта'!D289</f>
        <v>285</v>
      </c>
      <c r="AG289" s="56">
        <f>'[2]Изложницы без бурта'!E289</f>
        <v>320</v>
      </c>
      <c r="AH289" s="56" t="str">
        <f>'[2]Изложницы без бурта'!F289</f>
        <v>72.11870 - 5</v>
      </c>
      <c r="AI289" s="56">
        <f>'[2]Изложницы без бурта'!G289</f>
        <v>0</v>
      </c>
      <c r="AJ289" s="56">
        <f>'[2]Изложницы без бурта'!H289</f>
        <v>0</v>
      </c>
      <c r="AK289" s="56">
        <f>'[2]Изложницы без бурта'!I289</f>
        <v>0</v>
      </c>
      <c r="AL289" s="56" t="s">
        <v>591</v>
      </c>
      <c r="AM289" s="56">
        <f>'[2]Изложницы без бурта'!K289</f>
        <v>0</v>
      </c>
    </row>
    <row r="290" spans="1:39" ht="15.6" x14ac:dyDescent="0.3">
      <c r="A290" s="223"/>
      <c r="B290" s="1268"/>
      <c r="C290" s="134"/>
      <c r="D290" s="134"/>
      <c r="E290" s="134"/>
      <c r="F290" s="134"/>
      <c r="G290" s="134"/>
      <c r="H290" s="134"/>
      <c r="I290" s="134"/>
      <c r="J290" s="134"/>
      <c r="K290" s="225"/>
      <c r="L290" s="134"/>
      <c r="M290" s="134"/>
      <c r="N290" s="447"/>
      <c r="O290" s="447"/>
      <c r="P290" s="447"/>
      <c r="Q290" s="134"/>
      <c r="R290" s="134"/>
      <c r="AB290" s="253" t="str">
        <f t="shared" si="19"/>
        <v/>
      </c>
      <c r="AC290" s="254" t="str">
        <f>IF(COUNTIF(AD$78:AD290,AD290)=1,MAX(AC$78:AC289)+1,"")</f>
        <v/>
      </c>
      <c r="AD290" s="215">
        <f>'[2]Изложницы без бурта'!B290</f>
        <v>150</v>
      </c>
      <c r="AE290" s="215">
        <f>'[2]Изложницы без бурта'!C290</f>
        <v>265</v>
      </c>
      <c r="AF290" s="56">
        <f>'[2]Изложницы без бурта'!D290</f>
        <v>285</v>
      </c>
      <c r="AG290" s="56">
        <f>'[2]Изложницы без бурта'!E290</f>
        <v>320</v>
      </c>
      <c r="AH290" s="56" t="str">
        <f>'[2]Изложницы без бурта'!F290</f>
        <v>72.11870 - 5</v>
      </c>
      <c r="AI290" s="56">
        <f>'[2]Изложницы без бурта'!G290</f>
        <v>0</v>
      </c>
      <c r="AJ290" s="56">
        <f>'[2]Изложницы без бурта'!H290</f>
        <v>0</v>
      </c>
      <c r="AK290" s="56">
        <f>'[2]Изложницы без бурта'!I290</f>
        <v>0</v>
      </c>
      <c r="AL290" s="56" t="s">
        <v>591</v>
      </c>
      <c r="AM290" s="56">
        <f>'[2]Изложницы без бурта'!K290</f>
        <v>0</v>
      </c>
    </row>
    <row r="291" spans="1:39" ht="16.2" thickBot="1" x14ac:dyDescent="0.35">
      <c r="A291" s="223" t="s">
        <v>213</v>
      </c>
      <c r="B291" s="1268"/>
      <c r="C291" s="134"/>
      <c r="D291" s="134"/>
      <c r="E291" s="134"/>
      <c r="F291" s="134"/>
      <c r="G291" s="134"/>
      <c r="H291" s="134"/>
      <c r="I291" s="234"/>
      <c r="J291" s="234"/>
      <c r="K291" s="225"/>
      <c r="L291" s="134"/>
      <c r="M291" s="134"/>
      <c r="N291" s="447"/>
      <c r="O291" s="447"/>
      <c r="P291" s="447"/>
      <c r="Q291" s="134"/>
      <c r="R291" s="134"/>
      <c r="AB291" s="253" t="str">
        <f t="shared" si="19"/>
        <v/>
      </c>
      <c r="AC291" s="254" t="str">
        <f>IF(COUNTIF(AD$78:AD291,AD291)=1,MAX(AC$78:AC290)+1,"")</f>
        <v/>
      </c>
      <c r="AD291" s="215">
        <f>'[2]Изложницы без бурта'!B291</f>
        <v>150</v>
      </c>
      <c r="AE291" s="215">
        <f>'[2]Изложницы без бурта'!C291</f>
        <v>262</v>
      </c>
      <c r="AF291" s="56">
        <f>'[2]Изложницы без бурта'!D291</f>
        <v>285</v>
      </c>
      <c r="AG291" s="56">
        <f>'[2]Изложницы без бурта'!E291</f>
        <v>320</v>
      </c>
      <c r="AH291" s="56" t="str">
        <f>'[2]Изложницы без бурта'!F291</f>
        <v>72.11870 - 5</v>
      </c>
      <c r="AI291" s="56">
        <f>'[2]Изложницы без бурта'!G291</f>
        <v>0</v>
      </c>
      <c r="AJ291" s="56">
        <f>'[2]Изложницы без бурта'!H291</f>
        <v>0</v>
      </c>
      <c r="AK291" s="56">
        <f>'[2]Изложницы без бурта'!I291</f>
        <v>0</v>
      </c>
      <c r="AL291" s="56" t="s">
        <v>591</v>
      </c>
      <c r="AM291" s="56">
        <f>'[2]Изложницы без бурта'!K291</f>
        <v>0</v>
      </c>
    </row>
    <row r="292" spans="1:39" ht="15.6" x14ac:dyDescent="0.3">
      <c r="A292" s="257" t="s">
        <v>214</v>
      </c>
      <c r="B292" s="259"/>
      <c r="C292" s="259" t="s">
        <v>149</v>
      </c>
      <c r="D292" s="259"/>
      <c r="E292" s="259" t="s">
        <v>215</v>
      </c>
      <c r="F292" s="259"/>
      <c r="G292" s="290" t="s">
        <v>202</v>
      </c>
      <c r="H292" s="1462"/>
      <c r="I292" s="234"/>
      <c r="J292" s="234"/>
      <c r="K292" s="225"/>
      <c r="L292" s="134"/>
      <c r="M292" s="134"/>
      <c r="N292" s="447"/>
      <c r="O292" s="447"/>
      <c r="P292" s="447"/>
      <c r="Q292" s="134"/>
      <c r="R292" s="134"/>
      <c r="AB292" s="253" t="str">
        <f t="shared" si="19"/>
        <v/>
      </c>
      <c r="AC292" s="254" t="str">
        <f>IF(COUNTIF(AD$78:AD292,AD292)=1,MAX(AC$78:AC291)+1,"")</f>
        <v/>
      </c>
      <c r="AD292" s="215">
        <f>'[2]Изложницы без бурта'!B292</f>
        <v>150</v>
      </c>
      <c r="AE292" s="215">
        <f>'[2]Изложницы без бурта'!C292</f>
        <v>320</v>
      </c>
      <c r="AF292" s="56">
        <f>'[2]Изложницы без бурта'!D292</f>
        <v>285</v>
      </c>
      <c r="AG292" s="56">
        <f>'[2]Изложницы без бурта'!E292</f>
        <v>320</v>
      </c>
      <c r="AH292" s="56" t="str">
        <f>'[2]Изложницы без бурта'!F292</f>
        <v>72.11871 - 5</v>
      </c>
      <c r="AI292" s="56">
        <f>'[2]Изложницы без бурта'!G292</f>
        <v>7260006</v>
      </c>
      <c r="AJ292" s="56">
        <f>'[2]Изложницы без бурта'!H292</f>
        <v>0</v>
      </c>
      <c r="AK292" s="56">
        <f>'[2]Изложницы без бурта'!I292</f>
        <v>0</v>
      </c>
      <c r="AL292" s="56" t="s">
        <v>591</v>
      </c>
      <c r="AM292" s="56">
        <f>'[2]Изложницы без бурта'!K292</f>
        <v>0</v>
      </c>
    </row>
    <row r="293" spans="1:39" ht="15.6" x14ac:dyDescent="0.3">
      <c r="A293" s="292" t="s">
        <v>216</v>
      </c>
      <c r="B293" s="293"/>
      <c r="C293" s="265" t="s">
        <v>178</v>
      </c>
      <c r="D293" s="293"/>
      <c r="E293" s="293" t="s">
        <v>150</v>
      </c>
      <c r="F293" s="293"/>
      <c r="G293" s="294"/>
      <c r="H293" s="1462"/>
      <c r="I293" s="234"/>
      <c r="J293" s="234"/>
      <c r="K293" s="225"/>
      <c r="L293" s="134"/>
      <c r="M293" s="134"/>
      <c r="N293" s="447"/>
      <c r="O293" s="447"/>
      <c r="P293" s="447"/>
      <c r="Q293" s="134"/>
      <c r="R293" s="134"/>
      <c r="AB293" s="253" t="str">
        <f t="shared" si="19"/>
        <v/>
      </c>
      <c r="AC293" s="254" t="str">
        <f>IF(COUNTIF(AD$78:AD293,AD293)=1,MAX(AC$78:AC292)+1,"")</f>
        <v/>
      </c>
      <c r="AD293" s="215">
        <f>'[2]Изложницы без бурта'!B293</f>
        <v>150</v>
      </c>
      <c r="AE293" s="215">
        <f>'[2]Изложницы без бурта'!C293</f>
        <v>263</v>
      </c>
      <c r="AF293" s="56">
        <f>'[2]Изложницы без бурта'!D293</f>
        <v>285</v>
      </c>
      <c r="AG293" s="56">
        <f>'[2]Изложницы без бурта'!E293</f>
        <v>320</v>
      </c>
      <c r="AH293" s="56" t="str">
        <f>'[2]Изложницы без бурта'!F293</f>
        <v>72.11870 - 5</v>
      </c>
      <c r="AI293" s="56">
        <f>'[2]Изложницы без бурта'!G293</f>
        <v>0</v>
      </c>
      <c r="AJ293" s="56">
        <f>'[2]Изложницы без бурта'!H293</f>
        <v>0</v>
      </c>
      <c r="AK293" s="56">
        <f>'[2]Изложницы без бурта'!I293</f>
        <v>0</v>
      </c>
      <c r="AL293" s="56" t="s">
        <v>591</v>
      </c>
      <c r="AM293" s="56">
        <f>'[2]Изложницы без бурта'!K293</f>
        <v>0</v>
      </c>
    </row>
    <row r="294" spans="1:39" ht="15.6" x14ac:dyDescent="0.3">
      <c r="A294" s="295">
        <f>VLOOKUP(B257,B47:I55,5,FALSE)</f>
        <v>60</v>
      </c>
      <c r="B294" s="293">
        <f>A294</f>
        <v>60</v>
      </c>
      <c r="C294" s="270">
        <f>VLOOKUP(B257,B47:I55,2,FALSE)</f>
        <v>40</v>
      </c>
      <c r="D294" s="293"/>
      <c r="E294" s="296">
        <f>VLOOKUP(B257,B47:I55,7,FALSE)</f>
        <v>14</v>
      </c>
      <c r="F294" s="293"/>
      <c r="G294" s="294"/>
      <c r="H294" s="1462"/>
      <c r="I294" s="234"/>
      <c r="J294" s="234"/>
      <c r="K294" s="225"/>
      <c r="L294" s="134"/>
      <c r="M294" s="134"/>
      <c r="N294" s="447"/>
      <c r="O294" s="447"/>
      <c r="P294" s="447"/>
      <c r="Q294" s="134"/>
      <c r="R294" s="134"/>
      <c r="AB294" s="253" t="str">
        <f t="shared" si="19"/>
        <v/>
      </c>
      <c r="AC294" s="254" t="str">
        <f>IF(COUNTIF(AD$78:AD294,AD294)=1,MAX(AC$78:AC293)+1,"")</f>
        <v/>
      </c>
      <c r="AD294" s="215">
        <f>'[2]Изложницы без бурта'!B294</f>
        <v>150</v>
      </c>
      <c r="AE294" s="215">
        <f>'[2]Изложницы без бурта'!C294</f>
        <v>265</v>
      </c>
      <c r="AF294" s="56">
        <f>'[2]Изложницы без бурта'!D294</f>
        <v>285</v>
      </c>
      <c r="AG294" s="56">
        <f>'[2]Изложницы без бурта'!E294</f>
        <v>320</v>
      </c>
      <c r="AH294" s="56" t="str">
        <f>'[2]Изложницы без бурта'!F294</f>
        <v>72.11870 - 5</v>
      </c>
      <c r="AI294" s="56">
        <f>'[2]Изложницы без бурта'!G294</f>
        <v>0</v>
      </c>
      <c r="AJ294" s="56">
        <f>'[2]Изложницы без бурта'!H294</f>
        <v>0</v>
      </c>
      <c r="AK294" s="56">
        <f>'[2]Изложницы без бурта'!I294</f>
        <v>0</v>
      </c>
      <c r="AL294" s="56" t="s">
        <v>591</v>
      </c>
      <c r="AM294" s="56">
        <f>'[2]Изложницы без бурта'!K294</f>
        <v>0</v>
      </c>
    </row>
    <row r="295" spans="1:39" ht="15.6" x14ac:dyDescent="0.3">
      <c r="A295" s="297"/>
      <c r="B295" s="293"/>
      <c r="C295" s="265" t="s">
        <v>179</v>
      </c>
      <c r="D295" s="293"/>
      <c r="E295" s="293" t="s">
        <v>151</v>
      </c>
      <c r="F295" s="293"/>
      <c r="G295" s="294"/>
      <c r="H295" s="1462"/>
      <c r="I295" s="234"/>
      <c r="J295" s="234"/>
      <c r="K295" s="225"/>
      <c r="L295" s="134"/>
      <c r="M295" s="134"/>
      <c r="N295" s="447"/>
      <c r="O295" s="447"/>
      <c r="P295" s="447"/>
      <c r="Q295" s="134"/>
      <c r="R295" s="134"/>
      <c r="AB295" s="253" t="str">
        <f t="shared" si="19"/>
        <v/>
      </c>
      <c r="AC295" s="254">
        <f>IF(COUNTIF(AD$78:AD295,AD295)=1,MAX(AC$78:AC294)+1,"")</f>
        <v>27</v>
      </c>
      <c r="AD295" s="215">
        <f>'[2]Изложницы без бурта'!B295</f>
        <v>155</v>
      </c>
      <c r="AE295" s="215">
        <f>'[2]Изложницы без бурта'!C295</f>
        <v>265</v>
      </c>
      <c r="AF295" s="56">
        <f>'[2]Изложницы без бурта'!D295</f>
        <v>285</v>
      </c>
      <c r="AG295" s="56">
        <f>'[2]Изложницы без бурта'!E295</f>
        <v>320</v>
      </c>
      <c r="AH295" s="56" t="str">
        <f>'[2]Изложницы без бурта'!F295</f>
        <v>72.11870 - 7</v>
      </c>
      <c r="AI295" s="56">
        <f>'[2]Изложницы без бурта'!G295</f>
        <v>0</v>
      </c>
      <c r="AJ295" s="56">
        <f>'[2]Изложницы без бурта'!H295</f>
        <v>0</v>
      </c>
      <c r="AK295" s="56">
        <f>'[2]Изложницы без бурта'!I295</f>
        <v>0</v>
      </c>
      <c r="AL295" s="56" t="s">
        <v>592</v>
      </c>
      <c r="AM295" s="56">
        <f>'[2]Изложницы без бурта'!K295</f>
        <v>0</v>
      </c>
    </row>
    <row r="296" spans="1:39" ht="15.6" x14ac:dyDescent="0.3">
      <c r="A296" s="292" t="s">
        <v>217</v>
      </c>
      <c r="B296" s="293"/>
      <c r="C296" s="270">
        <f>VLOOKUP(B257,B47:I55,3,FALSE)</f>
        <v>50</v>
      </c>
      <c r="D296" s="293">
        <f>(C294+C296)/2</f>
        <v>45</v>
      </c>
      <c r="E296" s="296">
        <f>VLOOKUP(B257,B47:I55,8,FALSE)</f>
        <v>70</v>
      </c>
      <c r="F296" s="293"/>
      <c r="G296" s="294"/>
      <c r="H296" s="1462"/>
      <c r="I296" s="234"/>
      <c r="J296" s="234"/>
      <c r="K296" s="225"/>
      <c r="L296" s="134"/>
      <c r="M296" s="134"/>
      <c r="N296" s="447"/>
      <c r="O296" s="447"/>
      <c r="P296" s="447"/>
      <c r="Q296" s="134"/>
      <c r="R296" s="134"/>
      <c r="AB296" s="253" t="str">
        <f t="shared" si="19"/>
        <v/>
      </c>
      <c r="AC296" s="254" t="str">
        <f>IF(COUNTIF(AD$78:AD296,AD296)=1,MAX(AC$78:AC295)+1,"")</f>
        <v/>
      </c>
      <c r="AD296" s="215">
        <f>'[2]Изложницы без бурта'!B296</f>
        <v>155</v>
      </c>
      <c r="AE296" s="215">
        <f>'[2]Изложницы без бурта'!C296</f>
        <v>260</v>
      </c>
      <c r="AF296" s="56">
        <f>'[2]Изложницы без бурта'!D296</f>
        <v>185</v>
      </c>
      <c r="AG296" s="56">
        <f>'[2]Изложницы без бурта'!E296</f>
        <v>320</v>
      </c>
      <c r="AH296" s="56" t="str">
        <f>'[2]Изложницы без бурта'!F296</f>
        <v>72.11870 - 7</v>
      </c>
      <c r="AI296" s="56">
        <f>'[2]Изложницы без бурта'!G296</f>
        <v>0</v>
      </c>
      <c r="AJ296" s="56">
        <f>'[2]Изложницы без бурта'!H296</f>
        <v>0</v>
      </c>
      <c r="AK296" s="56">
        <f>'[2]Изложницы без бурта'!I296</f>
        <v>0</v>
      </c>
      <c r="AL296" s="56" t="s">
        <v>592</v>
      </c>
      <c r="AM296" s="56">
        <f>'[2]Изложницы без бурта'!K296</f>
        <v>0</v>
      </c>
    </row>
    <row r="297" spans="1:39" ht="15" x14ac:dyDescent="0.25">
      <c r="A297" s="295">
        <f>VLOOKUP(B257,B47:I55,6,FALSE)</f>
        <v>65</v>
      </c>
      <c r="B297" s="293">
        <f>A297</f>
        <v>65</v>
      </c>
      <c r="C297" s="265" t="s">
        <v>204</v>
      </c>
      <c r="D297" s="293"/>
      <c r="E297" s="293" t="s">
        <v>152</v>
      </c>
      <c r="F297" s="293"/>
      <c r="G297" s="294"/>
      <c r="H297" s="1462"/>
      <c r="I297" s="234"/>
      <c r="J297" s="234"/>
      <c r="K297" s="225"/>
      <c r="L297" s="134"/>
      <c r="M297" s="134"/>
      <c r="N297" s="134"/>
      <c r="O297" s="134"/>
      <c r="P297" s="134"/>
      <c r="Q297" s="134"/>
      <c r="R297" s="134"/>
      <c r="AB297" s="253" t="str">
        <f t="shared" si="19"/>
        <v/>
      </c>
      <c r="AC297" s="254" t="str">
        <f>IF(COUNTIF(AD$78:AD297,AD297)=1,MAX(AC$78:AC296)+1,"")</f>
        <v/>
      </c>
      <c r="AD297" s="215">
        <f>'[2]Изложницы без бурта'!B297</f>
        <v>155</v>
      </c>
      <c r="AE297" s="215">
        <f>'[2]Изложницы без бурта'!C297</f>
        <v>265</v>
      </c>
      <c r="AF297" s="56">
        <f>'[2]Изложницы без бурта'!D297</f>
        <v>285</v>
      </c>
      <c r="AG297" s="56">
        <f>'[2]Изложницы без бурта'!E297</f>
        <v>320</v>
      </c>
      <c r="AH297" s="56" t="str">
        <f>'[2]Изложницы без бурта'!F297</f>
        <v>72.11870 - 7</v>
      </c>
      <c r="AI297" s="56">
        <f>'[2]Изложницы без бурта'!G297</f>
        <v>0</v>
      </c>
      <c r="AJ297" s="56">
        <f>'[2]Изложницы без бурта'!H297</f>
        <v>0</v>
      </c>
      <c r="AK297" s="56">
        <f>'[2]Изложницы без бурта'!I297</f>
        <v>0</v>
      </c>
      <c r="AL297" s="56" t="s">
        <v>592</v>
      </c>
      <c r="AM297" s="56">
        <f>'[2]Изложницы без бурта'!K297</f>
        <v>0</v>
      </c>
    </row>
    <row r="298" spans="1:39" ht="15" x14ac:dyDescent="0.25">
      <c r="A298" s="297"/>
      <c r="B298" s="293"/>
      <c r="C298" s="270">
        <f>VLOOKUP(B257,B47:I55,4,FALSE)</f>
        <v>50</v>
      </c>
      <c r="D298" s="293">
        <f>C298</f>
        <v>50</v>
      </c>
      <c r="E298" s="296">
        <f>B300</f>
        <v>1244</v>
      </c>
      <c r="F298" s="293"/>
      <c r="G298" s="294"/>
      <c r="H298" s="1462"/>
      <c r="I298" s="234"/>
      <c r="J298" s="234"/>
      <c r="K298" s="225"/>
      <c r="L298" s="134"/>
      <c r="M298" s="134"/>
      <c r="N298" s="134"/>
      <c r="O298" s="134"/>
      <c r="P298" s="134"/>
      <c r="Q298" s="134"/>
      <c r="R298" s="134"/>
      <c r="AB298" s="253" t="str">
        <f t="shared" si="19"/>
        <v/>
      </c>
      <c r="AC298" s="254" t="str">
        <f>IF(COUNTIF(AD$78:AD298,AD298)=1,MAX(AC$78:AC297)+1,"")</f>
        <v/>
      </c>
      <c r="AD298" s="215">
        <f>'[2]Изложницы без бурта'!B298</f>
        <v>155</v>
      </c>
      <c r="AE298" s="215">
        <f>'[2]Изложницы без бурта'!C298</f>
        <v>265</v>
      </c>
      <c r="AF298" s="56">
        <f>'[2]Изложницы без бурта'!D298</f>
        <v>285</v>
      </c>
      <c r="AG298" s="56">
        <f>'[2]Изложницы без бурта'!E298</f>
        <v>320</v>
      </c>
      <c r="AH298" s="56" t="str">
        <f>'[2]Изложницы без бурта'!F298</f>
        <v>72.11870 - 7</v>
      </c>
      <c r="AI298" s="56">
        <f>'[2]Изложницы без бурта'!G298</f>
        <v>0</v>
      </c>
      <c r="AJ298" s="56">
        <f>'[2]Изложницы без бурта'!H298</f>
        <v>0</v>
      </c>
      <c r="AK298" s="56">
        <f>'[2]Изложницы без бурта'!I298</f>
        <v>0</v>
      </c>
      <c r="AL298" s="56" t="s">
        <v>592</v>
      </c>
      <c r="AM298" s="56">
        <f>'[2]Изложницы без бурта'!K298</f>
        <v>0</v>
      </c>
    </row>
    <row r="299" spans="1:39" ht="14.4" x14ac:dyDescent="0.3">
      <c r="A299" s="298" t="s">
        <v>8</v>
      </c>
      <c r="B299" s="293"/>
      <c r="C299" s="276" t="s">
        <v>1076</v>
      </c>
      <c r="D299" s="293"/>
      <c r="E299" s="293"/>
      <c r="F299" s="293"/>
      <c r="G299" s="294"/>
      <c r="H299" s="1462"/>
      <c r="I299" s="234"/>
      <c r="J299" s="234"/>
      <c r="K299" s="225"/>
      <c r="AB299" s="253" t="str">
        <f t="shared" si="19"/>
        <v/>
      </c>
      <c r="AC299" s="254" t="str">
        <f>IF(COUNTIF(AD$78:AD299,AD299)=1,MAX(AC$78:AC298)+1,"")</f>
        <v/>
      </c>
      <c r="AD299" s="215">
        <f>'[2]Изложницы без бурта'!B299</f>
        <v>155</v>
      </c>
      <c r="AE299" s="215">
        <f>'[2]Изложницы без бурта'!C299</f>
        <v>260</v>
      </c>
      <c r="AF299" s="56">
        <f>'[2]Изложницы без бурта'!D299</f>
        <v>285</v>
      </c>
      <c r="AG299" s="56">
        <f>'[2]Изложницы без бурта'!E299</f>
        <v>320</v>
      </c>
      <c r="AH299" s="56" t="str">
        <f>'[2]Изложницы без бурта'!F299</f>
        <v>72.11870 - 7</v>
      </c>
      <c r="AI299" s="56">
        <f>'[2]Изложницы без бурта'!G299</f>
        <v>0</v>
      </c>
      <c r="AJ299" s="56">
        <f>'[2]Изложницы без бурта'!H299</f>
        <v>0</v>
      </c>
      <c r="AK299" s="56">
        <f>'[2]Изложницы без бурта'!I299</f>
        <v>0</v>
      </c>
      <c r="AL299" s="56" t="s">
        <v>592</v>
      </c>
      <c r="AM299" s="56">
        <f>'[2]Изложницы без бурта'!K299</f>
        <v>0</v>
      </c>
    </row>
    <row r="300" spans="1:39" ht="15.6" x14ac:dyDescent="0.3">
      <c r="A300" s="299">
        <f>'Втулка с буртом'!M7+'Втулка с буртом'!M11</f>
        <v>1244</v>
      </c>
      <c r="B300" s="293">
        <f>A300</f>
        <v>1244</v>
      </c>
      <c r="C300" s="270">
        <v>210</v>
      </c>
      <c r="D300" s="293">
        <f>2*3.1415926*C303/2</f>
        <v>1083.8494470000001</v>
      </c>
      <c r="E300" s="446">
        <f>B302</f>
        <v>1</v>
      </c>
      <c r="F300" s="293">
        <f>E294*E296*E298*B301*E300/1000000</f>
        <v>11.337816</v>
      </c>
      <c r="G300" s="294"/>
      <c r="H300" s="1462"/>
      <c r="I300" s="234"/>
      <c r="J300" s="234"/>
      <c r="K300" s="225"/>
      <c r="AB300" s="253" t="str">
        <f t="shared" si="19"/>
        <v/>
      </c>
      <c r="AC300" s="254" t="str">
        <f>IF(COUNTIF(AD$78:AD300,AD300)=1,MAX(AC$78:AC299)+1,"")</f>
        <v/>
      </c>
      <c r="AD300" s="215">
        <f>'[2]Изложницы без бурта'!B300</f>
        <v>155</v>
      </c>
      <c r="AE300" s="215">
        <f>'[2]Изложницы без бурта'!C300</f>
        <v>265</v>
      </c>
      <c r="AF300" s="56">
        <f>'[2]Изложницы без бурта'!D300</f>
        <v>285</v>
      </c>
      <c r="AG300" s="56">
        <f>'[2]Изложницы без бурта'!E300</f>
        <v>320</v>
      </c>
      <c r="AH300" s="56" t="str">
        <f>'[2]Изложницы без бурта'!F300</f>
        <v>72.11870 - 7</v>
      </c>
      <c r="AI300" s="56">
        <f>'[2]Изложницы без бурта'!G300</f>
        <v>0</v>
      </c>
      <c r="AJ300" s="56">
        <f>'[2]Изложницы без бурта'!H300</f>
        <v>0</v>
      </c>
      <c r="AK300" s="56">
        <f>'[2]Изложницы без бурта'!I300</f>
        <v>0</v>
      </c>
      <c r="AL300" s="56" t="s">
        <v>592</v>
      </c>
      <c r="AM300" s="56">
        <f>'[2]Изложницы без бурта'!K300</f>
        <v>0</v>
      </c>
    </row>
    <row r="301" spans="1:39" ht="15.6" x14ac:dyDescent="0.3">
      <c r="A301" s="297"/>
      <c r="B301" s="300">
        <f>'Втулка с буртом'!M8</f>
        <v>9.3000000000000007</v>
      </c>
      <c r="C301" s="276" t="s">
        <v>206</v>
      </c>
      <c r="D301" s="293">
        <v>150</v>
      </c>
      <c r="E301" s="293"/>
      <c r="F301" s="293"/>
      <c r="G301" s="294"/>
      <c r="H301" s="1462"/>
      <c r="I301" s="234"/>
      <c r="J301" s="234"/>
      <c r="K301" s="225"/>
      <c r="AB301" s="253" t="str">
        <f t="shared" si="19"/>
        <v/>
      </c>
      <c r="AC301" s="254" t="str">
        <f>IF(COUNTIF(AD$78:AD301,AD301)=1,MAX(AC$78:AC300)+1,"")</f>
        <v/>
      </c>
      <c r="AD301" s="215">
        <f>'[2]Изложницы без бурта'!B301</f>
        <v>155</v>
      </c>
      <c r="AE301" s="215">
        <f>'[2]Изложницы без бурта'!C301</f>
        <v>265</v>
      </c>
      <c r="AF301" s="56">
        <f>'[2]Изложницы без бурта'!D301</f>
        <v>285</v>
      </c>
      <c r="AG301" s="56">
        <f>'[2]Изложницы без бурта'!E301</f>
        <v>320</v>
      </c>
      <c r="AH301" s="56" t="str">
        <f>'[2]Изложницы без бурта'!F301</f>
        <v>72.11870 - 7</v>
      </c>
      <c r="AI301" s="56">
        <f>'[2]Изложницы без бурта'!G301</f>
        <v>0</v>
      </c>
      <c r="AJ301" s="56">
        <f>'[2]Изложницы без бурта'!H301</f>
        <v>0</v>
      </c>
      <c r="AK301" s="56">
        <f>'[2]Изложницы без бурта'!I301</f>
        <v>0</v>
      </c>
      <c r="AL301" s="56" t="s">
        <v>592</v>
      </c>
      <c r="AM301" s="56">
        <f>'[2]Изложницы без бурта'!K301</f>
        <v>0</v>
      </c>
    </row>
    <row r="302" spans="1:39" ht="15.6" x14ac:dyDescent="0.3">
      <c r="A302" s="297"/>
      <c r="B302" s="301">
        <f>IF('Втулка с буртом'!M4&gt;1000,2,1)</f>
        <v>1</v>
      </c>
      <c r="C302" s="276" t="s">
        <v>208</v>
      </c>
      <c r="D302" s="293">
        <f>IF(B302=1,D301,D300)</f>
        <v>150</v>
      </c>
      <c r="E302" s="293"/>
      <c r="F302" s="293"/>
      <c r="G302" s="294"/>
      <c r="H302" s="1462"/>
      <c r="I302" s="234"/>
      <c r="J302" s="234"/>
      <c r="K302" s="225"/>
      <c r="AB302" s="253" t="str">
        <f t="shared" si="19"/>
        <v/>
      </c>
      <c r="AC302" s="254" t="str">
        <f>IF(COUNTIF(AD$78:AD302,AD302)=1,MAX(AC$78:AC301)+1,"")</f>
        <v/>
      </c>
      <c r="AD302" s="215">
        <f>'[2]Изложницы без бурта'!B302</f>
        <v>155</v>
      </c>
      <c r="AE302" s="215">
        <f>'[2]Изложницы без бурта'!C302</f>
        <v>265</v>
      </c>
      <c r="AF302" s="56">
        <f>'[2]Изложницы без бурта'!D302</f>
        <v>285</v>
      </c>
      <c r="AG302" s="56">
        <f>'[2]Изложницы без бурта'!E302</f>
        <v>320</v>
      </c>
      <c r="AH302" s="56" t="str">
        <f>'[2]Изложницы без бурта'!F302</f>
        <v>72.11870 - 7</v>
      </c>
      <c r="AI302" s="56">
        <f>'[2]Изложницы без бурта'!G302</f>
        <v>0</v>
      </c>
      <c r="AJ302" s="56">
        <f>'[2]Изложницы без бурта'!H302</f>
        <v>0</v>
      </c>
      <c r="AK302" s="56">
        <f>'[2]Изложницы без бурта'!I302</f>
        <v>0</v>
      </c>
      <c r="AL302" s="56" t="s">
        <v>592</v>
      </c>
      <c r="AM302" s="56">
        <f>'[2]Изложницы без бурта'!K302</f>
        <v>0</v>
      </c>
    </row>
    <row r="303" spans="1:39" ht="15.6" thickBot="1" x14ac:dyDescent="0.3">
      <c r="A303" s="302"/>
      <c r="B303" s="303">
        <f>B294*B294*3.1415926*B300*B301/4000000+(B297*B297*3.1415926*B300*B301*B302/4000000)</f>
        <v>71.101301267368513</v>
      </c>
      <c r="C303" s="304">
        <f>C300+E296+B297</f>
        <v>345</v>
      </c>
      <c r="D303" s="303">
        <f>D296*D298*D302*B301/1000000/360*180</f>
        <v>1.5693750000000002</v>
      </c>
      <c r="E303" s="303"/>
      <c r="F303" s="303"/>
      <c r="G303" s="305">
        <f>B303+D303+F300</f>
        <v>84.00849226736851</v>
      </c>
      <c r="H303" s="1462"/>
      <c r="I303" s="234"/>
      <c r="J303" s="234"/>
      <c r="K303" s="225"/>
      <c r="AB303" s="253" t="str">
        <f t="shared" si="19"/>
        <v/>
      </c>
      <c r="AC303" s="254" t="str">
        <f>IF(COUNTIF(AD$78:AD303,AD303)=1,MAX(AC$78:AC302)+1,"")</f>
        <v/>
      </c>
      <c r="AD303" s="215">
        <f>'[2]Изложницы без бурта'!B303</f>
        <v>155</v>
      </c>
      <c r="AE303" s="215">
        <f>'[2]Изложницы без бурта'!C303</f>
        <v>264</v>
      </c>
      <c r="AF303" s="56">
        <f>'[2]Изложницы без бурта'!D303</f>
        <v>285</v>
      </c>
      <c r="AG303" s="56">
        <f>'[2]Изложницы без бурта'!E303</f>
        <v>320</v>
      </c>
      <c r="AH303" s="56" t="str">
        <f>'[2]Изложницы без бурта'!F303</f>
        <v>72.11870 - 7</v>
      </c>
      <c r="AI303" s="56">
        <f>'[2]Изложницы без бурта'!G303</f>
        <v>0</v>
      </c>
      <c r="AJ303" s="56">
        <f>'[2]Изложницы без бурта'!H303</f>
        <v>0</v>
      </c>
      <c r="AK303" s="56">
        <f>'[2]Изложницы без бурта'!I303</f>
        <v>0</v>
      </c>
      <c r="AL303" s="56" t="s">
        <v>592</v>
      </c>
      <c r="AM303" s="56">
        <f>'[2]Изложницы без бурта'!K303</f>
        <v>0</v>
      </c>
    </row>
    <row r="304" spans="1:39" ht="14.4" thickBot="1" x14ac:dyDescent="0.3">
      <c r="A304" s="862"/>
      <c r="B304" s="1270"/>
      <c r="C304" s="307"/>
      <c r="D304" s="307"/>
      <c r="E304" s="307"/>
      <c r="F304" s="307"/>
      <c r="G304" s="307"/>
      <c r="H304" s="307"/>
      <c r="I304" s="307"/>
      <c r="J304" s="307"/>
      <c r="K304" s="308"/>
      <c r="AB304" s="253" t="str">
        <f t="shared" si="19"/>
        <v/>
      </c>
      <c r="AC304" s="254">
        <f>IF(COUNTIF(AD$78:AD304,AD304)=1,MAX(AC$78:AC303)+1,"")</f>
        <v>28</v>
      </c>
      <c r="AD304" s="215">
        <f>'[2]Изложницы без бурта'!B304</f>
        <v>157.5</v>
      </c>
      <c r="AE304" s="215">
        <f>'[2]Изложницы без бурта'!C304</f>
        <v>260</v>
      </c>
      <c r="AF304" s="56">
        <f>'[2]Изложницы без бурта'!D304</f>
        <v>285</v>
      </c>
      <c r="AG304" s="56">
        <f>'[2]Изложницы без бурта'!E304</f>
        <v>320</v>
      </c>
      <c r="AH304" s="56" t="str">
        <f>'[2]Изложницы без бурта'!F304</f>
        <v>72.11870 - 8</v>
      </c>
      <c r="AI304" s="56">
        <f>'[2]Изложницы без бурта'!G304</f>
        <v>0</v>
      </c>
      <c r="AJ304" s="56">
        <f>'[2]Изложницы без бурта'!H304</f>
        <v>0</v>
      </c>
      <c r="AK304" s="56">
        <f>'[2]Изложницы без бурта'!I304</f>
        <v>0</v>
      </c>
      <c r="AL304" s="56" t="s">
        <v>593</v>
      </c>
      <c r="AM304" s="56">
        <f>'[2]Изложницы без бурта'!K304</f>
        <v>0</v>
      </c>
    </row>
    <row r="305" spans="1:39" ht="14.4" thickBot="1" x14ac:dyDescent="0.3">
      <c r="A305" s="1467" t="s">
        <v>1251</v>
      </c>
      <c r="B305" s="1468"/>
      <c r="C305" s="1468"/>
      <c r="D305" s="878" t="s">
        <v>391</v>
      </c>
      <c r="E305" s="879">
        <f>IF(AND('Втулка с буртом'!M8&gt;=7.5,'Втулка с буртом'!M8&lt;=8.5),2,1)</f>
        <v>1</v>
      </c>
      <c r="F305" s="878" t="s">
        <v>966</v>
      </c>
      <c r="G305" s="213">
        <f>HLOOKUP(TRUE,A309:J311,2,FALSE)</f>
        <v>600</v>
      </c>
      <c r="H305" s="878" t="s">
        <v>398</v>
      </c>
      <c r="I305" s="213">
        <f>HLOOKUP(TRUE,A312:J314,3,FALSE)</f>
        <v>9</v>
      </c>
      <c r="J305" s="213"/>
      <c r="K305" s="214"/>
      <c r="AB305" s="253" t="str">
        <f t="shared" si="19"/>
        <v/>
      </c>
      <c r="AC305" s="254" t="str">
        <f>IF(COUNTIF(AD$78:AD305,AD305)=1,MAX(AC$78:AC304)+1,"")</f>
        <v/>
      </c>
      <c r="AD305" s="215">
        <f>'[2]Изложницы без бурта'!B305</f>
        <v>157.5</v>
      </c>
      <c r="AE305" s="215">
        <f>'[2]Изложницы без бурта'!C305</f>
        <v>263</v>
      </c>
      <c r="AF305" s="56">
        <f>'[2]Изложницы без бурта'!D305</f>
        <v>285</v>
      </c>
      <c r="AG305" s="56">
        <f>'[2]Изложницы без бурта'!E305</f>
        <v>320</v>
      </c>
      <c r="AH305" s="56" t="str">
        <f>'[2]Изложницы без бурта'!F305</f>
        <v>72.11870 - 8</v>
      </c>
      <c r="AI305" s="56">
        <f>'[2]Изложницы без бурта'!G305</f>
        <v>0</v>
      </c>
      <c r="AJ305" s="56">
        <f>'[2]Изложницы без бурта'!H305</f>
        <v>0</v>
      </c>
      <c r="AK305" s="56">
        <f>'[2]Изложницы без бурта'!I305</f>
        <v>0</v>
      </c>
      <c r="AL305" s="56" t="s">
        <v>593</v>
      </c>
      <c r="AM305" s="56">
        <f>'[2]Изложницы без бурта'!K305</f>
        <v>0</v>
      </c>
    </row>
    <row r="306" spans="1:39" ht="14.4" thickBot="1" x14ac:dyDescent="0.3">
      <c r="A306" s="223" t="s">
        <v>964</v>
      </c>
      <c r="B306" s="134">
        <f>'Втулка с буртом'!M17</f>
        <v>600</v>
      </c>
      <c r="C306" s="1268" t="s">
        <v>967</v>
      </c>
      <c r="D306" s="134" t="str">
        <f>(IF(AND('Втулка с буртом'!M8&gt;=7.5,'Втулка с буртом'!M8&lt;=8.5),VLOOKUP(G305,A220:K229,I305,0),VLOOKUP(G305,A208:K217,I305,0)))</f>
        <v>9 10 10</v>
      </c>
      <c r="E306" s="919" t="s">
        <v>968</v>
      </c>
      <c r="F306" s="920" t="s">
        <v>969</v>
      </c>
      <c r="G306" s="921" t="s">
        <v>970</v>
      </c>
      <c r="H306" s="134"/>
      <c r="I306" s="134"/>
      <c r="J306" s="134"/>
      <c r="K306" s="225"/>
      <c r="AB306" s="253" t="str">
        <f t="shared" si="19"/>
        <v/>
      </c>
      <c r="AC306" s="254" t="str">
        <f>IF(COUNTIF(AD$78:AD306,AD306)=1,MAX(AC$78:AC305)+1,"")</f>
        <v/>
      </c>
      <c r="AD306" s="215">
        <f>'[2]Изложницы без бурта'!B306</f>
        <v>157.5</v>
      </c>
      <c r="AE306" s="215">
        <f>'[2]Изложницы без бурта'!C306</f>
        <v>265</v>
      </c>
      <c r="AF306" s="56">
        <f>'[2]Изложницы без бурта'!D306</f>
        <v>285</v>
      </c>
      <c r="AG306" s="56">
        <f>'[2]Изложницы без бурта'!E306</f>
        <v>320</v>
      </c>
      <c r="AH306" s="56" t="str">
        <f>'[2]Изложницы без бурта'!F306</f>
        <v>72.11870 - 8</v>
      </c>
      <c r="AI306" s="56">
        <f>'[2]Изложницы без бурта'!G306</f>
        <v>0</v>
      </c>
      <c r="AJ306" s="56">
        <f>'[2]Изложницы без бурта'!H306</f>
        <v>0</v>
      </c>
      <c r="AK306" s="56">
        <f>'[2]Изложницы без бурта'!I306</f>
        <v>0</v>
      </c>
      <c r="AL306" s="56" t="s">
        <v>593</v>
      </c>
      <c r="AM306" s="56">
        <f>'[2]Изложницы без бурта'!K306</f>
        <v>0</v>
      </c>
    </row>
    <row r="307" spans="1:39" ht="14.4" thickBot="1" x14ac:dyDescent="0.3">
      <c r="A307" s="223" t="s">
        <v>965</v>
      </c>
      <c r="B307" s="134">
        <f>'Втулка с буртом'!M21</f>
        <v>970</v>
      </c>
      <c r="C307" s="134"/>
      <c r="D307" s="134"/>
      <c r="E307" s="918" t="str">
        <f>LEFT(D306,SEARCH(" ",D306,1))</f>
        <v xml:space="preserve">9 </v>
      </c>
      <c r="F307" s="922" t="str">
        <f>LEFT(F308,SEARCH(" ",F308,2))</f>
        <v xml:space="preserve">10 </v>
      </c>
      <c r="G307" s="918" t="str">
        <f>RIGHT(F308,SEARCH(" ",D306,1))</f>
        <v>10</v>
      </c>
      <c r="H307" s="134"/>
      <c r="I307" s="134"/>
      <c r="J307" s="134"/>
      <c r="K307" s="225"/>
      <c r="AB307" s="253" t="str">
        <f t="shared" si="18"/>
        <v/>
      </c>
      <c r="AC307" s="254">
        <f>IF(COUNTIF(AD$78:AD307,AD307)=1,MAX(AC$78:AC306)+1,"")</f>
        <v>29</v>
      </c>
      <c r="AD307" s="215">
        <f>'[2]Изложницы без бурта'!B307</f>
        <v>160</v>
      </c>
      <c r="AE307" s="215">
        <f>'[2]Изложницы без бурта'!C307</f>
        <v>265</v>
      </c>
      <c r="AF307" s="56">
        <f>'[2]Изложницы без бурта'!D307</f>
        <v>285</v>
      </c>
      <c r="AG307" s="56">
        <f>'[2]Изложницы без бурта'!E307</f>
        <v>320</v>
      </c>
      <c r="AH307" s="56" t="str">
        <f>'[2]Изложницы без бурта'!F307</f>
        <v>72.11870 - 9</v>
      </c>
      <c r="AI307" s="56">
        <f>'[2]Изложницы без бурта'!G307</f>
        <v>0</v>
      </c>
      <c r="AJ307" s="56">
        <f>'[2]Изложницы без бурта'!H307</f>
        <v>0</v>
      </c>
      <c r="AK307" s="56">
        <f>'[2]Изложницы без бурта'!I307</f>
        <v>0</v>
      </c>
      <c r="AL307" s="56" t="s">
        <v>594</v>
      </c>
      <c r="AM307" s="56">
        <f>'[2]Изложницы без бурта'!K307</f>
        <v>0</v>
      </c>
    </row>
    <row r="308" spans="1:39" x14ac:dyDescent="0.25">
      <c r="A308" s="925"/>
      <c r="B308" s="331"/>
      <c r="C308" s="331"/>
      <c r="D308" s="134"/>
      <c r="E308" s="134"/>
      <c r="F308" s="923" t="str">
        <f>RIGHT(D306,LEN(D306)-SEARCH("",D306,2))</f>
        <v>10 10</v>
      </c>
      <c r="G308" s="134"/>
      <c r="H308" s="134"/>
      <c r="I308" s="134"/>
      <c r="J308" s="134"/>
      <c r="K308" s="225"/>
      <c r="AB308" s="253" t="str">
        <f t="shared" si="18"/>
        <v/>
      </c>
      <c r="AC308" s="254" t="str">
        <f>IF(COUNTIF(AD$78:AD308,AD308)=1,MAX(AC$78:AC307)+1,"")</f>
        <v/>
      </c>
      <c r="AD308" s="215">
        <f>'[2]Изложницы без бурта'!B308</f>
        <v>160</v>
      </c>
      <c r="AE308" s="215">
        <f>'[2]Изложницы без бурта'!C308</f>
        <v>265</v>
      </c>
      <c r="AF308" s="56">
        <f>'[2]Изложницы без бурта'!D308</f>
        <v>285</v>
      </c>
      <c r="AG308" s="56">
        <f>'[2]Изложницы без бурта'!E308</f>
        <v>320</v>
      </c>
      <c r="AH308" s="56" t="str">
        <f>'[2]Изложницы без бурта'!F308</f>
        <v>72.11870 - 9</v>
      </c>
      <c r="AI308" s="56">
        <f>'[2]Изложницы без бурта'!G308</f>
        <v>0</v>
      </c>
      <c r="AJ308" s="56">
        <f>'[2]Изложницы без бурта'!H308</f>
        <v>0</v>
      </c>
      <c r="AK308" s="56">
        <f>'[2]Изложницы без бурта'!I308</f>
        <v>0</v>
      </c>
      <c r="AL308" s="56" t="s">
        <v>594</v>
      </c>
      <c r="AM308" s="56">
        <f>'[2]Изложницы без бурта'!K308</f>
        <v>0</v>
      </c>
    </row>
    <row r="309" spans="1:39" x14ac:dyDescent="0.25">
      <c r="A309" s="1470" t="b">
        <f>$B$306&lt;=$A208</f>
        <v>0</v>
      </c>
      <c r="B309" s="1471" t="b">
        <f>$B$306&lt;=$A209</f>
        <v>0</v>
      </c>
      <c r="C309" s="1471" t="b">
        <f>$B$306&lt;=$A210</f>
        <v>0</v>
      </c>
      <c r="D309" s="1471" t="b">
        <f>$B$306&lt;=$A211</f>
        <v>0</v>
      </c>
      <c r="E309" s="1471" t="b">
        <f>$B$306&lt;=$A212</f>
        <v>1</v>
      </c>
      <c r="F309" s="1471" t="b">
        <f>$B$306&lt;=$A213</f>
        <v>1</v>
      </c>
      <c r="G309" s="1471" t="b">
        <f>$B$306&lt;=$A214</f>
        <v>1</v>
      </c>
      <c r="H309" s="1471" t="b">
        <f>$B$306&lt;=$A215</f>
        <v>1</v>
      </c>
      <c r="I309" s="1471" t="b">
        <f>$B$306&lt;=$A216</f>
        <v>1</v>
      </c>
      <c r="J309" s="1472" t="b">
        <f>$B$306&lt;=$A217</f>
        <v>1</v>
      </c>
      <c r="K309" s="225"/>
      <c r="AB309" s="253" t="str">
        <f t="shared" si="18"/>
        <v/>
      </c>
      <c r="AC309" s="254" t="str">
        <f>IF(COUNTIF(AD$78:AD309,AD309)=1,MAX(AC$78:AC308)+1,"")</f>
        <v/>
      </c>
      <c r="AD309" s="215">
        <f>'[2]Изложницы без бурта'!B309</f>
        <v>160</v>
      </c>
      <c r="AE309" s="215">
        <f>'[2]Изложницы без бурта'!C309</f>
        <v>256</v>
      </c>
      <c r="AF309" s="56">
        <f>'[2]Изложницы без бурта'!D309</f>
        <v>285</v>
      </c>
      <c r="AG309" s="56">
        <f>'[2]Изложницы без бурта'!E309</f>
        <v>320</v>
      </c>
      <c r="AH309" s="56" t="str">
        <f>'[2]Изложницы без бурта'!F309</f>
        <v>72.11870 - 9</v>
      </c>
      <c r="AI309" s="56">
        <f>'[2]Изложницы без бурта'!G309</f>
        <v>0</v>
      </c>
      <c r="AJ309" s="56">
        <f>'[2]Изложницы без бурта'!H309</f>
        <v>0</v>
      </c>
      <c r="AK309" s="56">
        <f>'[2]Изложницы без бурта'!I309</f>
        <v>0</v>
      </c>
      <c r="AL309" s="56" t="s">
        <v>594</v>
      </c>
      <c r="AM309" s="56">
        <f>'[2]Изложницы без бурта'!K309</f>
        <v>0</v>
      </c>
    </row>
    <row r="310" spans="1:39" x14ac:dyDescent="0.25">
      <c r="A310" s="1473">
        <v>100</v>
      </c>
      <c r="B310" s="1268">
        <v>200</v>
      </c>
      <c r="C310" s="134">
        <v>300</v>
      </c>
      <c r="D310" s="134">
        <v>400</v>
      </c>
      <c r="E310" s="134">
        <v>600</v>
      </c>
      <c r="F310" s="134">
        <v>800</v>
      </c>
      <c r="G310" s="134">
        <v>1000</v>
      </c>
      <c r="H310" s="134">
        <v>1500</v>
      </c>
      <c r="I310" s="134">
        <v>2000</v>
      </c>
      <c r="J310" s="1474">
        <v>2500</v>
      </c>
      <c r="K310" s="225"/>
      <c r="AB310" s="253" t="str">
        <f>IF(MAX(AC310:AC1387)&lt;ROW(232:232),"",VLOOKUP(ROW(232:232),AC310:AD1387,2))</f>
        <v/>
      </c>
      <c r="AC310" s="254" t="str">
        <f>IF(COUNTIF(AD$78:AD310,AD310)=1,MAX(AC$78:AC309)+1,"")</f>
        <v/>
      </c>
      <c r="AD310" s="215">
        <f>'[2]Изложницы без бурта'!B310</f>
        <v>160</v>
      </c>
      <c r="AE310" s="215">
        <f>'[2]Изложницы без бурта'!C310</f>
        <v>260</v>
      </c>
      <c r="AF310" s="56">
        <f>'[2]Изложницы без бурта'!D310</f>
        <v>285</v>
      </c>
      <c r="AG310" s="56">
        <f>'[2]Изложницы без бурта'!E310</f>
        <v>320</v>
      </c>
      <c r="AH310" s="56" t="str">
        <f>'[2]Изложницы без бурта'!F310</f>
        <v>72.11870 - 9</v>
      </c>
      <c r="AI310" s="56">
        <f>'[2]Изложницы без бурта'!G310</f>
        <v>0</v>
      </c>
      <c r="AJ310" s="56">
        <f>'[2]Изложницы без бурта'!H310</f>
        <v>0</v>
      </c>
      <c r="AK310" s="56">
        <f>'[2]Изложницы без бурта'!I310</f>
        <v>0</v>
      </c>
      <c r="AL310" s="56" t="s">
        <v>594</v>
      </c>
      <c r="AM310" s="56">
        <f>'[2]Изложницы без бурта'!K310</f>
        <v>0</v>
      </c>
    </row>
    <row r="311" spans="1:39" x14ac:dyDescent="0.25">
      <c r="A311" s="1475">
        <v>1</v>
      </c>
      <c r="B311" s="1476">
        <v>2</v>
      </c>
      <c r="C311" s="1477">
        <v>3</v>
      </c>
      <c r="D311" s="1477">
        <v>4</v>
      </c>
      <c r="E311" s="1477">
        <v>5</v>
      </c>
      <c r="F311" s="1477">
        <v>6</v>
      </c>
      <c r="G311" s="1477">
        <v>7</v>
      </c>
      <c r="H311" s="1477">
        <v>8</v>
      </c>
      <c r="I311" s="1477">
        <v>9</v>
      </c>
      <c r="J311" s="1478">
        <v>10</v>
      </c>
      <c r="K311" s="225"/>
      <c r="AB311" s="253" t="str">
        <f>IF(MAX(AC311:AC1388)&lt;ROW(233:233),"",VLOOKUP(ROW(233:233),AC311:AD1388,2))</f>
        <v/>
      </c>
      <c r="AC311" s="254" t="str">
        <f>IF(COUNTIF(AD$78:AD311,AD311)=1,MAX(AC$78:AC310)+1,"")</f>
        <v/>
      </c>
      <c r="AD311" s="215">
        <f>'[2]Изложницы без бурта'!B311</f>
        <v>160</v>
      </c>
      <c r="AE311" s="215">
        <f>'[2]Изложницы без бурта'!C311</f>
        <v>380</v>
      </c>
      <c r="AF311" s="56">
        <f>'[2]Изложницы без бурта'!D311</f>
        <v>285</v>
      </c>
      <c r="AG311" s="56">
        <f>'[2]Изложницы без бурта'!E311</f>
        <v>320</v>
      </c>
      <c r="AH311" s="56" t="str">
        <f>'[2]Изложницы без бурта'!F311</f>
        <v>72.42461 - 9</v>
      </c>
      <c r="AI311" s="56">
        <f>'[2]Изложницы без бурта'!G311</f>
        <v>0</v>
      </c>
      <c r="AJ311" s="56">
        <f>'[2]Изложницы без бурта'!H311</f>
        <v>0</v>
      </c>
      <c r="AK311" s="56">
        <f>'[2]Изложницы без бурта'!I311</f>
        <v>0</v>
      </c>
      <c r="AL311" s="56" t="s">
        <v>594</v>
      </c>
      <c r="AM311" s="56">
        <f>'[2]Изложницы без бурта'!K311</f>
        <v>0</v>
      </c>
    </row>
    <row r="312" spans="1:39" x14ac:dyDescent="0.25">
      <c r="A312" s="1470" t="b">
        <f>$B$307&lt;=B$207</f>
        <v>0</v>
      </c>
      <c r="B312" s="1471" t="b">
        <f t="shared" ref="B312:J312" si="20">$B$307&lt;=C$207</f>
        <v>0</v>
      </c>
      <c r="C312" s="1471" t="b">
        <f t="shared" si="20"/>
        <v>0</v>
      </c>
      <c r="D312" s="1471" t="b">
        <f t="shared" si="20"/>
        <v>0</v>
      </c>
      <c r="E312" s="1471" t="b">
        <f t="shared" si="20"/>
        <v>0</v>
      </c>
      <c r="F312" s="1471" t="b">
        <f t="shared" si="20"/>
        <v>0</v>
      </c>
      <c r="G312" s="1471" t="b">
        <f t="shared" si="20"/>
        <v>0</v>
      </c>
      <c r="H312" s="1471" t="b">
        <f t="shared" si="20"/>
        <v>1</v>
      </c>
      <c r="I312" s="1471" t="b">
        <f t="shared" si="20"/>
        <v>1</v>
      </c>
      <c r="J312" s="1472" t="b">
        <f t="shared" si="20"/>
        <v>1</v>
      </c>
      <c r="K312" s="225"/>
      <c r="AB312" s="253" t="str">
        <f>IF(MAX(AC312:AC1389)&lt;ROW(234:234),"",VLOOKUP(ROW(234:234),AC312:AD1389,2))</f>
        <v/>
      </c>
      <c r="AC312" s="254" t="str">
        <f>IF(COUNTIF(AD$78:AD312,AD312)=1,MAX(AC$78:AC311)+1,"")</f>
        <v/>
      </c>
      <c r="AD312" s="215">
        <f>'[2]Изложницы без бурта'!B312</f>
        <v>160</v>
      </c>
      <c r="AE312" s="215">
        <f>'[2]Изложницы без бурта'!C312</f>
        <v>380</v>
      </c>
      <c r="AF312" s="56">
        <f>'[2]Изложницы без бурта'!D312</f>
        <v>285</v>
      </c>
      <c r="AG312" s="56">
        <f>'[2]Изложницы без бурта'!E312</f>
        <v>320</v>
      </c>
      <c r="AH312" s="56" t="str">
        <f>'[2]Изложницы без бурта'!F312</f>
        <v>72.42461 - 9</v>
      </c>
      <c r="AI312" s="56">
        <f>'[2]Изложницы без бурта'!G312</f>
        <v>0</v>
      </c>
      <c r="AJ312" s="56">
        <f>'[2]Изложницы без бурта'!H312</f>
        <v>0</v>
      </c>
      <c r="AK312" s="56">
        <f>'[2]Изложницы без бурта'!I312</f>
        <v>0</v>
      </c>
      <c r="AL312" s="56" t="s">
        <v>594</v>
      </c>
      <c r="AM312" s="56">
        <f>'[2]Изложницы без бурта'!K312</f>
        <v>0</v>
      </c>
    </row>
    <row r="313" spans="1:39" x14ac:dyDescent="0.25">
      <c r="A313" s="1473">
        <v>50</v>
      </c>
      <c r="B313" s="1268">
        <v>100</v>
      </c>
      <c r="C313" s="134">
        <v>200</v>
      </c>
      <c r="D313" s="134">
        <v>300</v>
      </c>
      <c r="E313" s="134">
        <v>400</v>
      </c>
      <c r="F313" s="134">
        <v>600</v>
      </c>
      <c r="G313" s="134">
        <v>800</v>
      </c>
      <c r="H313" s="134">
        <v>1200</v>
      </c>
      <c r="I313" s="134">
        <v>1500</v>
      </c>
      <c r="J313" s="1474">
        <v>2000</v>
      </c>
      <c r="K313" s="225"/>
      <c r="AB313" s="253" t="str">
        <f>IF(MAX(AC313:AC1390)&lt;ROW(235:235),"",VLOOKUP(ROW(235:235),AC313:AD1390,2))</f>
        <v/>
      </c>
      <c r="AC313" s="254">
        <f>IF(COUNTIF(AD$78:AD313,AD313)=1,MAX(AC$78:AC312)+1,"")</f>
        <v>30</v>
      </c>
      <c r="AD313" s="215">
        <f>'[2]Изложницы без бурта'!B313</f>
        <v>162.5</v>
      </c>
      <c r="AE313" s="215">
        <f>'[2]Изложницы без бурта'!C313</f>
        <v>265</v>
      </c>
      <c r="AF313" s="56">
        <f>'[2]Изложницы без бурта'!D313</f>
        <v>285</v>
      </c>
      <c r="AG313" s="56">
        <f>'[2]Изложницы без бурта'!E313</f>
        <v>320</v>
      </c>
      <c r="AH313" s="56" t="str">
        <f>'[2]Изложницы без бурта'!F313</f>
        <v>72.11870 - 10</v>
      </c>
      <c r="AI313" s="56">
        <f>'[2]Изложницы без бурта'!G313</f>
        <v>0</v>
      </c>
      <c r="AJ313" s="56">
        <f>'[2]Изложницы без бурта'!H313</f>
        <v>0</v>
      </c>
      <c r="AK313" s="56">
        <f>'[2]Изложницы без бурта'!I313</f>
        <v>0</v>
      </c>
      <c r="AL313" s="56" t="s">
        <v>595</v>
      </c>
      <c r="AM313" s="56">
        <f>'[2]Изложницы без бурта'!K313</f>
        <v>0</v>
      </c>
    </row>
    <row r="314" spans="1:39" x14ac:dyDescent="0.25">
      <c r="A314" s="1475">
        <v>2</v>
      </c>
      <c r="B314" s="1476">
        <v>3</v>
      </c>
      <c r="C314" s="1477">
        <v>4</v>
      </c>
      <c r="D314" s="1477">
        <v>5</v>
      </c>
      <c r="E314" s="1477">
        <v>6</v>
      </c>
      <c r="F314" s="1477">
        <v>7</v>
      </c>
      <c r="G314" s="1477">
        <v>8</v>
      </c>
      <c r="H314" s="1477">
        <v>9</v>
      </c>
      <c r="I314" s="1477">
        <v>10</v>
      </c>
      <c r="J314" s="1478">
        <v>11</v>
      </c>
      <c r="K314" s="225"/>
      <c r="AB314" s="253" t="str">
        <f t="shared" ref="AB314:AB376" si="21">IF(MAX(AC314:AC1391)&lt;ROW(236:236),"",VLOOKUP(ROW(236:236),AC314:AD1391,2))</f>
        <v/>
      </c>
      <c r="AC314" s="254" t="str">
        <f>IF(COUNTIF(AD$78:AD314,AD314)=1,MAX(AC$78:AC313)+1,"")</f>
        <v/>
      </c>
      <c r="AD314" s="215">
        <f>'[2]Изложницы без бурта'!B314</f>
        <v>162.5</v>
      </c>
      <c r="AE314" s="215">
        <f>'[2]Изложницы без бурта'!C314</f>
        <v>318</v>
      </c>
      <c r="AF314" s="56">
        <f>'[2]Изложницы без бурта'!D314</f>
        <v>285</v>
      </c>
      <c r="AG314" s="56">
        <f>'[2]Изложницы без бурта'!E314</f>
        <v>320</v>
      </c>
      <c r="AH314" s="56" t="str">
        <f>'[2]Изложницы без бурта'!F314</f>
        <v>72.11871 - 10</v>
      </c>
      <c r="AI314" s="56">
        <f>'[2]Изложницы без бурта'!G314</f>
        <v>0</v>
      </c>
      <c r="AJ314" s="56">
        <f>'[2]Изложницы без бурта'!H314</f>
        <v>0</v>
      </c>
      <c r="AK314" s="56">
        <f>'[2]Изложницы без бурта'!I314</f>
        <v>0</v>
      </c>
      <c r="AL314" s="56" t="s">
        <v>595</v>
      </c>
      <c r="AM314" s="56">
        <f>'[2]Изложницы без бурта'!K314</f>
        <v>0</v>
      </c>
    </row>
    <row r="315" spans="1:39" x14ac:dyDescent="0.25">
      <c r="A315" s="861"/>
      <c r="B315" s="1469"/>
      <c r="C315" s="134"/>
      <c r="D315" s="134"/>
      <c r="E315" s="134"/>
      <c r="F315" s="134"/>
      <c r="G315" s="134"/>
      <c r="H315" s="134"/>
      <c r="I315" s="134"/>
      <c r="J315" s="134"/>
      <c r="K315" s="225"/>
      <c r="AB315" s="253" t="str">
        <f t="shared" si="21"/>
        <v/>
      </c>
      <c r="AC315" s="254" t="str">
        <f>IF(COUNTIF(AD$78:AD315,AD315)=1,MAX(AC$78:AC314)+1,"")</f>
        <v/>
      </c>
      <c r="AD315" s="215">
        <f>'[2]Изложницы без бурта'!B315</f>
        <v>162.5</v>
      </c>
      <c r="AE315" s="215">
        <f>'[2]Изложницы без бурта'!C315</f>
        <v>260</v>
      </c>
      <c r="AF315" s="56">
        <f>'[2]Изложницы без бурта'!D315</f>
        <v>285</v>
      </c>
      <c r="AG315" s="56">
        <f>'[2]Изложницы без бурта'!E315</f>
        <v>320</v>
      </c>
      <c r="AH315" s="56" t="str">
        <f>'[2]Изложницы без бурта'!F315</f>
        <v>72.11870 - 10</v>
      </c>
      <c r="AI315" s="56">
        <f>'[2]Изложницы без бурта'!G315</f>
        <v>0</v>
      </c>
      <c r="AJ315" s="56">
        <f>'[2]Изложницы без бурта'!H315</f>
        <v>0</v>
      </c>
      <c r="AK315" s="56">
        <f>'[2]Изложницы без бурта'!I315</f>
        <v>0</v>
      </c>
      <c r="AL315" s="56" t="s">
        <v>595</v>
      </c>
      <c r="AM315" s="56">
        <f>'[2]Изложницы без бурта'!K315</f>
        <v>0</v>
      </c>
    </row>
    <row r="316" spans="1:39" ht="14.4" thickBot="1" x14ac:dyDescent="0.3">
      <c r="A316" s="862"/>
      <c r="B316" s="1270"/>
      <c r="C316" s="307"/>
      <c r="D316" s="307"/>
      <c r="E316" s="307"/>
      <c r="F316" s="307"/>
      <c r="G316" s="307"/>
      <c r="H316" s="307"/>
      <c r="I316" s="307"/>
      <c r="J316" s="307"/>
      <c r="K316" s="308"/>
      <c r="AB316" s="253" t="str">
        <f t="shared" si="21"/>
        <v/>
      </c>
      <c r="AC316" s="254" t="str">
        <f>IF(COUNTIF(AD$78:AD316,AD316)=1,MAX(AC$78:AC315)+1,"")</f>
        <v/>
      </c>
      <c r="AD316" s="215">
        <f>'[2]Изложницы без бурта'!B316</f>
        <v>162.5</v>
      </c>
      <c r="AE316" s="215">
        <f>'[2]Изложницы без бурта'!C316</f>
        <v>265</v>
      </c>
      <c r="AF316" s="56">
        <f>'[2]Изложницы без бурта'!D316</f>
        <v>285</v>
      </c>
      <c r="AG316" s="56">
        <f>'[2]Изложницы без бурта'!E316</f>
        <v>320</v>
      </c>
      <c r="AH316" s="56" t="str">
        <f>'[2]Изложницы без бурта'!F316</f>
        <v>72.11870 - 10</v>
      </c>
      <c r="AI316" s="56">
        <f>'[2]Изложницы без бурта'!G316</f>
        <v>0</v>
      </c>
      <c r="AJ316" s="56">
        <f>'[2]Изложницы без бурта'!H316</f>
        <v>0</v>
      </c>
      <c r="AK316" s="56">
        <f>'[2]Изложницы без бурта'!I316</f>
        <v>0</v>
      </c>
      <c r="AL316" s="56" t="s">
        <v>595</v>
      </c>
      <c r="AM316" s="56">
        <f>'[2]Изложницы без бурта'!K316</f>
        <v>0</v>
      </c>
    </row>
    <row r="317" spans="1:39" x14ac:dyDescent="0.25">
      <c r="A317" s="310"/>
      <c r="B317" s="1234"/>
      <c r="AB317" s="253" t="str">
        <f t="shared" si="21"/>
        <v/>
      </c>
      <c r="AC317" s="254" t="str">
        <f>IF(COUNTIF(AD$78:AD317,AD317)=1,MAX(AC$78:AC316)+1,"")</f>
        <v/>
      </c>
      <c r="AD317" s="215">
        <f>'[2]Изложницы без бурта'!B317</f>
        <v>162.5</v>
      </c>
      <c r="AE317" s="215">
        <f>'[2]Изложницы без бурта'!C317</f>
        <v>275</v>
      </c>
      <c r="AF317" s="56">
        <f>'[2]Изложницы без бурта'!D317</f>
        <v>285</v>
      </c>
      <c r="AG317" s="56">
        <f>'[2]Изложницы без бурта'!E317</f>
        <v>320</v>
      </c>
      <c r="AH317" s="56" t="str">
        <f>'[2]Изложницы без бурта'!F317</f>
        <v>72.11870 - 10</v>
      </c>
      <c r="AI317" s="56">
        <f>'[2]Изложницы без бурта'!G317</f>
        <v>0</v>
      </c>
      <c r="AJ317" s="56">
        <f>'[2]Изложницы без бурта'!H317</f>
        <v>0</v>
      </c>
      <c r="AK317" s="56">
        <f>'[2]Изложницы без бурта'!I317</f>
        <v>0</v>
      </c>
      <c r="AL317" s="56" t="s">
        <v>595</v>
      </c>
      <c r="AM317" s="56">
        <f>'[2]Изложницы без бурта'!K317</f>
        <v>0</v>
      </c>
    </row>
    <row r="318" spans="1:39" x14ac:dyDescent="0.25">
      <c r="A318" s="310"/>
      <c r="B318" s="1234"/>
      <c r="AB318" s="253" t="str">
        <f t="shared" si="21"/>
        <v/>
      </c>
      <c r="AC318" s="254">
        <f>IF(COUNTIF(AD$78:AD318,AD318)=1,MAX(AC$78:AC317)+1,"")</f>
        <v>31</v>
      </c>
      <c r="AD318" s="215">
        <f>'[2]Изложницы без бурта'!B318</f>
        <v>165</v>
      </c>
      <c r="AE318" s="215">
        <f>'[2]Изложницы без бурта'!C318</f>
        <v>265</v>
      </c>
      <c r="AF318" s="56">
        <f>'[2]Изложницы без бурта'!D318</f>
        <v>285</v>
      </c>
      <c r="AG318" s="56">
        <f>'[2]Изложницы без бурта'!E318</f>
        <v>320</v>
      </c>
      <c r="AH318" s="56" t="str">
        <f>'[2]Изложницы без бурта'!F318</f>
        <v>72.11870 - 11</v>
      </c>
      <c r="AI318" s="56">
        <f>'[2]Изложницы без бурта'!G318</f>
        <v>0</v>
      </c>
      <c r="AJ318" s="56">
        <f>'[2]Изложницы без бурта'!H318</f>
        <v>0</v>
      </c>
      <c r="AK318" s="56">
        <f>'[2]Изложницы без бурта'!I318</f>
        <v>0</v>
      </c>
      <c r="AL318" s="56" t="s">
        <v>596</v>
      </c>
      <c r="AM318" s="56">
        <f>'[2]Изложницы без бурта'!K318</f>
        <v>0</v>
      </c>
    </row>
    <row r="319" spans="1:39" x14ac:dyDescent="0.25">
      <c r="A319" s="310"/>
      <c r="B319" s="1234"/>
      <c r="AB319" s="253" t="str">
        <f t="shared" si="21"/>
        <v/>
      </c>
      <c r="AC319" s="254" t="str">
        <f>IF(COUNTIF(AD$78:AD319,AD319)=1,MAX(AC$78:AC318)+1,"")</f>
        <v/>
      </c>
      <c r="AD319" s="215">
        <f>'[2]Изложницы без бурта'!B319</f>
        <v>165</v>
      </c>
      <c r="AE319" s="215">
        <f>'[2]Изложницы без бурта'!C319</f>
        <v>260</v>
      </c>
      <c r="AF319" s="56">
        <f>'[2]Изложницы без бурта'!D319</f>
        <v>285</v>
      </c>
      <c r="AG319" s="56">
        <f>'[2]Изложницы без бурта'!E319</f>
        <v>320</v>
      </c>
      <c r="AH319" s="56" t="str">
        <f>'[2]Изложницы без бурта'!F319</f>
        <v>72.11870 - 11</v>
      </c>
      <c r="AI319" s="56">
        <f>'[2]Изложницы без бурта'!G319</f>
        <v>0</v>
      </c>
      <c r="AJ319" s="56">
        <f>'[2]Изложницы без бурта'!H319</f>
        <v>0</v>
      </c>
      <c r="AK319" s="56">
        <f>'[2]Изложницы без бурта'!I319</f>
        <v>0</v>
      </c>
      <c r="AL319" s="56" t="s">
        <v>596</v>
      </c>
      <c r="AM319" s="56">
        <f>'[2]Изложницы без бурта'!K319</f>
        <v>0</v>
      </c>
    </row>
    <row r="320" spans="1:39" x14ac:dyDescent="0.25">
      <c r="A320" s="310"/>
      <c r="B320" s="1234"/>
      <c r="AB320" s="253" t="str">
        <f t="shared" si="21"/>
        <v/>
      </c>
      <c r="AC320" s="254" t="str">
        <f>IF(COUNTIF(AD$78:AD320,AD320)=1,MAX(AC$78:AC319)+1,"")</f>
        <v/>
      </c>
      <c r="AD320" s="215">
        <f>'[2]Изложницы без бурта'!B320</f>
        <v>165</v>
      </c>
      <c r="AE320" s="215">
        <f>'[2]Изложницы без бурта'!C320</f>
        <v>320</v>
      </c>
      <c r="AF320" s="56">
        <f>'[2]Изложницы без бурта'!D320</f>
        <v>285</v>
      </c>
      <c r="AG320" s="56">
        <f>'[2]Изложницы без бурта'!E320</f>
        <v>320</v>
      </c>
      <c r="AH320" s="56" t="str">
        <f>'[2]Изложницы без бурта'!F320</f>
        <v>72.11871 - 11</v>
      </c>
      <c r="AI320" s="56">
        <f>'[2]Изложницы без бурта'!G320</f>
        <v>0</v>
      </c>
      <c r="AJ320" s="56">
        <f>'[2]Изложницы без бурта'!H320</f>
        <v>0</v>
      </c>
      <c r="AK320" s="56">
        <f>'[2]Изложницы без бурта'!I320</f>
        <v>0</v>
      </c>
      <c r="AL320" s="56" t="s">
        <v>596</v>
      </c>
      <c r="AM320" s="56">
        <f>'[2]Изложницы без бурта'!K320</f>
        <v>0</v>
      </c>
    </row>
    <row r="321" spans="1:39" x14ac:dyDescent="0.25">
      <c r="A321" s="310"/>
      <c r="B321" s="1234"/>
      <c r="AB321" s="253" t="str">
        <f t="shared" si="21"/>
        <v/>
      </c>
      <c r="AC321" s="254" t="str">
        <f>IF(COUNTIF(AD$78:AD321,AD321)=1,MAX(AC$78:AC320)+1,"")</f>
        <v/>
      </c>
      <c r="AD321" s="215">
        <f>'[2]Изложницы без бурта'!B321</f>
        <v>165</v>
      </c>
      <c r="AE321" s="215">
        <f>'[2]Изложницы без бурта'!C321</f>
        <v>265</v>
      </c>
      <c r="AF321" s="56">
        <f>'[2]Изложницы без бурта'!D321</f>
        <v>285</v>
      </c>
      <c r="AG321" s="56">
        <f>'[2]Изложницы без бурта'!E321</f>
        <v>320</v>
      </c>
      <c r="AH321" s="56" t="str">
        <f>'[2]Изложницы без бурта'!F321</f>
        <v>72.11870 - 11</v>
      </c>
      <c r="AI321" s="56">
        <f>'[2]Изложницы без бурта'!G321</f>
        <v>0</v>
      </c>
      <c r="AJ321" s="56">
        <f>'[2]Изложницы без бурта'!H321</f>
        <v>0</v>
      </c>
      <c r="AK321" s="56">
        <f>'[2]Изложницы без бурта'!I321</f>
        <v>0</v>
      </c>
      <c r="AL321" s="56" t="s">
        <v>596</v>
      </c>
      <c r="AM321" s="56">
        <f>'[2]Изложницы без бурта'!K321</f>
        <v>0</v>
      </c>
    </row>
    <row r="322" spans="1:39" x14ac:dyDescent="0.25">
      <c r="A322" s="310"/>
      <c r="B322" s="1234"/>
      <c r="AB322" s="253" t="str">
        <f t="shared" si="21"/>
        <v/>
      </c>
      <c r="AC322" s="254" t="str">
        <f>IF(COUNTIF(AD$78:AD322,AD322)=1,MAX(AC$78:AC321)+1,"")</f>
        <v/>
      </c>
      <c r="AD322" s="215">
        <f>'[2]Изложницы без бурта'!B322</f>
        <v>165</v>
      </c>
      <c r="AE322" s="215">
        <f>'[2]Изложницы без бурта'!C322</f>
        <v>265</v>
      </c>
      <c r="AF322" s="56">
        <f>'[2]Изложницы без бурта'!D322</f>
        <v>285</v>
      </c>
      <c r="AG322" s="56">
        <f>'[2]Изложницы без бурта'!E322</f>
        <v>320</v>
      </c>
      <c r="AH322" s="56" t="str">
        <f>'[2]Изложницы без бурта'!F322</f>
        <v>72.11870 - 11</v>
      </c>
      <c r="AI322" s="56">
        <f>'[2]Изложницы без бурта'!G322</f>
        <v>0</v>
      </c>
      <c r="AJ322" s="56">
        <f>'[2]Изложницы без бурта'!H322</f>
        <v>0</v>
      </c>
      <c r="AK322" s="56">
        <f>'[2]Изложницы без бурта'!I322</f>
        <v>0</v>
      </c>
      <c r="AL322" s="56" t="s">
        <v>596</v>
      </c>
      <c r="AM322" s="56">
        <f>'[2]Изложницы без бурта'!K322</f>
        <v>0</v>
      </c>
    </row>
    <row r="323" spans="1:39" x14ac:dyDescent="0.25">
      <c r="A323" s="310"/>
      <c r="B323" s="1234"/>
      <c r="AB323" s="253" t="str">
        <f t="shared" si="21"/>
        <v/>
      </c>
      <c r="AC323" s="254" t="str">
        <f>IF(COUNTIF(AD$78:AD323,AD323)=1,MAX(AC$78:AC322)+1,"")</f>
        <v/>
      </c>
      <c r="AD323" s="215">
        <f>'[2]Изложницы без бурта'!B323</f>
        <v>165</v>
      </c>
      <c r="AE323" s="215">
        <f>'[2]Изложницы без бурта'!C323</f>
        <v>263</v>
      </c>
      <c r="AF323" s="56">
        <f>'[2]Изложницы без бурта'!D323</f>
        <v>285</v>
      </c>
      <c r="AG323" s="56">
        <f>'[2]Изложницы без бурта'!E323</f>
        <v>320</v>
      </c>
      <c r="AH323" s="56" t="str">
        <f>'[2]Изложницы без бурта'!F323</f>
        <v>72.11870 - 11</v>
      </c>
      <c r="AI323" s="56">
        <f>'[2]Изложницы без бурта'!G323</f>
        <v>0</v>
      </c>
      <c r="AJ323" s="56">
        <f>'[2]Изложницы без бурта'!H323</f>
        <v>0</v>
      </c>
      <c r="AK323" s="56">
        <f>'[2]Изложницы без бурта'!I323</f>
        <v>0</v>
      </c>
      <c r="AL323" s="56" t="s">
        <v>596</v>
      </c>
      <c r="AM323" s="56">
        <f>'[2]Изложницы без бурта'!K323</f>
        <v>0</v>
      </c>
    </row>
    <row r="324" spans="1:39" x14ac:dyDescent="0.25">
      <c r="A324" s="310"/>
      <c r="B324" s="1234"/>
      <c r="AB324" s="253" t="str">
        <f t="shared" si="21"/>
        <v/>
      </c>
      <c r="AC324" s="254">
        <f>IF(COUNTIF(AD$78:AD324,AD324)=1,MAX(AC$78:AC323)+1,"")</f>
        <v>32</v>
      </c>
      <c r="AD324" s="215">
        <f>'[2]Изложницы без бурта'!B324</f>
        <v>167.5</v>
      </c>
      <c r="AE324" s="215">
        <f>'[2]Изложницы без бурта'!C324</f>
        <v>262</v>
      </c>
      <c r="AF324" s="56">
        <f>'[2]Изложницы без бурта'!D324</f>
        <v>285</v>
      </c>
      <c r="AG324" s="56">
        <f>'[2]Изложницы без бурта'!E324</f>
        <v>320</v>
      </c>
      <c r="AH324" s="56" t="str">
        <f>'[2]Изложницы без бурта'!F324</f>
        <v>72.11870 - 12</v>
      </c>
      <c r="AI324" s="56">
        <f>'[2]Изложницы без бурта'!G324</f>
        <v>0</v>
      </c>
      <c r="AJ324" s="56">
        <f>'[2]Изложницы без бурта'!H324</f>
        <v>0</v>
      </c>
      <c r="AK324" s="56">
        <f>'[2]Изложницы без бурта'!I324</f>
        <v>0</v>
      </c>
      <c r="AL324" s="56" t="s">
        <v>597</v>
      </c>
      <c r="AM324" s="56">
        <f>'[2]Изложницы без бурта'!K324</f>
        <v>0</v>
      </c>
    </row>
    <row r="325" spans="1:39" x14ac:dyDescent="0.25">
      <c r="A325" s="310"/>
      <c r="B325" s="1234"/>
      <c r="AB325" s="253" t="str">
        <f t="shared" si="21"/>
        <v/>
      </c>
      <c r="AC325" s="254" t="str">
        <f>IF(COUNTIF(AD$78:AD325,AD325)=1,MAX(AC$78:AC324)+1,"")</f>
        <v/>
      </c>
      <c r="AD325" s="215">
        <f>'[2]Изложницы без бурта'!B325</f>
        <v>167.5</v>
      </c>
      <c r="AE325" s="215">
        <f>'[2]Изложницы без бурта'!C325</f>
        <v>263</v>
      </c>
      <c r="AF325" s="56">
        <f>'[2]Изложницы без бурта'!D325</f>
        <v>285</v>
      </c>
      <c r="AG325" s="56">
        <f>'[2]Изложницы без бурта'!E325</f>
        <v>320</v>
      </c>
      <c r="AH325" s="56" t="str">
        <f>'[2]Изложницы без бурта'!F325</f>
        <v>72.11870 - 12</v>
      </c>
      <c r="AI325" s="56">
        <f>'[2]Изложницы без бурта'!G325</f>
        <v>0</v>
      </c>
      <c r="AJ325" s="56">
        <f>'[2]Изложницы без бурта'!H325</f>
        <v>0</v>
      </c>
      <c r="AK325" s="56">
        <f>'[2]Изложницы без бурта'!I325</f>
        <v>0</v>
      </c>
      <c r="AL325" s="56" t="s">
        <v>597</v>
      </c>
      <c r="AM325" s="56">
        <f>'[2]Изложницы без бурта'!K325</f>
        <v>0</v>
      </c>
    </row>
    <row r="326" spans="1:39" x14ac:dyDescent="0.25">
      <c r="A326" s="310"/>
      <c r="B326" s="1234"/>
      <c r="AB326" s="253" t="str">
        <f t="shared" si="21"/>
        <v/>
      </c>
      <c r="AC326" s="254" t="str">
        <f>IF(COUNTIF(AD$78:AD326,AD326)=1,MAX(AC$78:AC325)+1,"")</f>
        <v/>
      </c>
      <c r="AD326" s="215">
        <f>'[2]Изложницы без бурта'!B326</f>
        <v>167.5</v>
      </c>
      <c r="AE326" s="215">
        <f>'[2]Изложницы без бурта'!C326</f>
        <v>263</v>
      </c>
      <c r="AF326" s="56">
        <f>'[2]Изложницы без бурта'!D326</f>
        <v>285</v>
      </c>
      <c r="AG326" s="56">
        <f>'[2]Изложницы без бурта'!E326</f>
        <v>320</v>
      </c>
      <c r="AH326" s="56" t="str">
        <f>'[2]Изложницы без бурта'!F326</f>
        <v>72.11870 - 12</v>
      </c>
      <c r="AI326" s="56">
        <f>'[2]Изложницы без бурта'!G326</f>
        <v>0</v>
      </c>
      <c r="AJ326" s="56">
        <f>'[2]Изложницы без бурта'!H326</f>
        <v>0</v>
      </c>
      <c r="AK326" s="56">
        <f>'[2]Изложницы без бурта'!I326</f>
        <v>0</v>
      </c>
      <c r="AL326" s="56" t="s">
        <v>597</v>
      </c>
      <c r="AM326" s="56">
        <f>'[2]Изложницы без бурта'!K326</f>
        <v>0</v>
      </c>
    </row>
    <row r="327" spans="1:39" x14ac:dyDescent="0.25">
      <c r="A327" s="310"/>
      <c r="B327" s="1234"/>
      <c r="AB327" s="253" t="str">
        <f t="shared" si="21"/>
        <v/>
      </c>
      <c r="AC327" s="254" t="str">
        <f>IF(COUNTIF(AD$78:AD327,AD327)=1,MAX(AC$78:AC326)+1,"")</f>
        <v/>
      </c>
      <c r="AD327" s="215">
        <f>'[2]Изложницы без бурта'!B327</f>
        <v>167.5</v>
      </c>
      <c r="AE327" s="215">
        <f>'[2]Изложницы без бурта'!C327</f>
        <v>265</v>
      </c>
      <c r="AF327" s="56">
        <f>'[2]Изложницы без бурта'!D327</f>
        <v>285</v>
      </c>
      <c r="AG327" s="56">
        <f>'[2]Изложницы без бурта'!E327</f>
        <v>320</v>
      </c>
      <c r="AH327" s="56" t="str">
        <f>'[2]Изложницы без бурта'!F327</f>
        <v>72.11870 - 12</v>
      </c>
      <c r="AI327" s="56">
        <f>'[2]Изложницы без бурта'!G327</f>
        <v>0</v>
      </c>
      <c r="AJ327" s="56">
        <f>'[2]Изложницы без бурта'!H327</f>
        <v>0</v>
      </c>
      <c r="AK327" s="56">
        <f>'[2]Изложницы без бурта'!I327</f>
        <v>0</v>
      </c>
      <c r="AL327" s="56" t="s">
        <v>597</v>
      </c>
      <c r="AM327" s="56">
        <f>'[2]Изложницы без бурта'!K327</f>
        <v>0</v>
      </c>
    </row>
    <row r="328" spans="1:39" x14ac:dyDescent="0.25">
      <c r="A328" s="310"/>
      <c r="B328" s="1234"/>
      <c r="AB328" s="253" t="str">
        <f t="shared" si="21"/>
        <v/>
      </c>
      <c r="AC328" s="254" t="str">
        <f>IF(COUNTIF(AD$78:AD328,AD328)=1,MAX(AC$78:AC327)+1,"")</f>
        <v/>
      </c>
      <c r="AD328" s="215">
        <f>'[2]Изложницы без бурта'!B328</f>
        <v>167.5</v>
      </c>
      <c r="AE328" s="215">
        <f>'[2]Изложницы без бурта'!C328</f>
        <v>255</v>
      </c>
      <c r="AF328" s="56">
        <f>'[2]Изложницы без бурта'!D328</f>
        <v>285</v>
      </c>
      <c r="AG328" s="56">
        <f>'[2]Изложницы без бурта'!E328</f>
        <v>320</v>
      </c>
      <c r="AH328" s="56" t="str">
        <f>'[2]Изложницы без бурта'!F328</f>
        <v>72.11870 - 12</v>
      </c>
      <c r="AI328" s="56">
        <f>'[2]Изложницы без бурта'!G328</f>
        <v>0</v>
      </c>
      <c r="AJ328" s="56">
        <f>'[2]Изложницы без бурта'!H328</f>
        <v>0</v>
      </c>
      <c r="AK328" s="56">
        <f>'[2]Изложницы без бурта'!I328</f>
        <v>0</v>
      </c>
      <c r="AL328" s="56" t="s">
        <v>597</v>
      </c>
      <c r="AM328" s="56">
        <f>'[2]Изложницы без бурта'!K328</f>
        <v>0</v>
      </c>
    </row>
    <row r="329" spans="1:39" x14ac:dyDescent="0.25">
      <c r="A329" s="310"/>
      <c r="B329" s="1234"/>
      <c r="AB329" s="253" t="str">
        <f t="shared" si="21"/>
        <v/>
      </c>
      <c r="AC329" s="254" t="str">
        <f>IF(COUNTIF(AD$78:AD329,AD329)=1,MAX(AC$78:AC328)+1,"")</f>
        <v/>
      </c>
      <c r="AD329" s="215">
        <f>'[2]Изложницы без бурта'!B329</f>
        <v>167.5</v>
      </c>
      <c r="AE329" s="215">
        <f>'[2]Изложницы без бурта'!C329</f>
        <v>262</v>
      </c>
      <c r="AF329" s="56">
        <f>'[2]Изложницы без бурта'!D329</f>
        <v>285</v>
      </c>
      <c r="AG329" s="56">
        <f>'[2]Изложницы без бурта'!E329</f>
        <v>320</v>
      </c>
      <c r="AH329" s="56" t="str">
        <f>'[2]Изложницы без бурта'!F329</f>
        <v>72.11870 - 12</v>
      </c>
      <c r="AI329" s="56">
        <f>'[2]Изложницы без бурта'!G329</f>
        <v>0</v>
      </c>
      <c r="AJ329" s="56">
        <f>'[2]Изложницы без бурта'!H329</f>
        <v>0</v>
      </c>
      <c r="AK329" s="56">
        <f>'[2]Изложницы без бурта'!I329</f>
        <v>0</v>
      </c>
      <c r="AL329" s="56" t="s">
        <v>597</v>
      </c>
      <c r="AM329" s="56">
        <f>'[2]Изложницы без бурта'!K329</f>
        <v>0</v>
      </c>
    </row>
    <row r="330" spans="1:39" x14ac:dyDescent="0.25">
      <c r="A330" s="310"/>
      <c r="B330" s="1234"/>
      <c r="AB330" s="253" t="str">
        <f t="shared" si="21"/>
        <v/>
      </c>
      <c r="AC330" s="254" t="str">
        <f>IF(COUNTIF(AD$78:AD330,AD330)=1,MAX(AC$78:AC329)+1,"")</f>
        <v/>
      </c>
      <c r="AD330" s="215">
        <f>'[2]Изложницы без бурта'!B330</f>
        <v>167.5</v>
      </c>
      <c r="AE330" s="215">
        <f>'[2]Изложницы без бурта'!C330</f>
        <v>262</v>
      </c>
      <c r="AF330" s="56">
        <f>'[2]Изложницы без бурта'!D330</f>
        <v>285</v>
      </c>
      <c r="AG330" s="56">
        <f>'[2]Изложницы без бурта'!E330</f>
        <v>320</v>
      </c>
      <c r="AH330" s="56" t="str">
        <f>'[2]Изложницы без бурта'!F330</f>
        <v>72.11870 - 12</v>
      </c>
      <c r="AI330" s="56">
        <f>'[2]Изложницы без бурта'!G330</f>
        <v>0</v>
      </c>
      <c r="AJ330" s="56">
        <f>'[2]Изложницы без бурта'!H330</f>
        <v>0</v>
      </c>
      <c r="AK330" s="56">
        <f>'[2]Изложницы без бурта'!I330</f>
        <v>0</v>
      </c>
      <c r="AL330" s="56" t="s">
        <v>597</v>
      </c>
      <c r="AM330" s="56">
        <f>'[2]Изложницы без бурта'!K330</f>
        <v>0</v>
      </c>
    </row>
    <row r="331" spans="1:39" x14ac:dyDescent="0.25">
      <c r="A331" s="310"/>
      <c r="B331" s="1234"/>
      <c r="AB331" s="253" t="str">
        <f t="shared" si="21"/>
        <v/>
      </c>
      <c r="AC331" s="254" t="str">
        <f>IF(COUNTIF(AD$78:AD331,AD331)=1,MAX(AC$78:AC330)+1,"")</f>
        <v/>
      </c>
      <c r="AD331" s="215">
        <f>'[2]Изложницы без бурта'!B331</f>
        <v>167.5</v>
      </c>
      <c r="AE331" s="215">
        <f>'[2]Изложницы без бурта'!C331</f>
        <v>260</v>
      </c>
      <c r="AF331" s="56">
        <f>'[2]Изложницы без бурта'!D331</f>
        <v>285</v>
      </c>
      <c r="AG331" s="56">
        <f>'[2]Изложницы без бурта'!E331</f>
        <v>320</v>
      </c>
      <c r="AH331" s="56" t="str">
        <f>'[2]Изложницы без бурта'!F331</f>
        <v>72.11870 - 12</v>
      </c>
      <c r="AI331" s="56">
        <f>'[2]Изложницы без бурта'!G331</f>
        <v>0</v>
      </c>
      <c r="AJ331" s="56">
        <f>'[2]Изложницы без бурта'!H331</f>
        <v>0</v>
      </c>
      <c r="AK331" s="56">
        <f>'[2]Изложницы без бурта'!I331</f>
        <v>0</v>
      </c>
      <c r="AL331" s="56" t="s">
        <v>597</v>
      </c>
      <c r="AM331" s="56">
        <f>'[2]Изложницы без бурта'!K331</f>
        <v>0</v>
      </c>
    </row>
    <row r="332" spans="1:39" x14ac:dyDescent="0.25">
      <c r="A332" s="310"/>
      <c r="B332" s="1234"/>
      <c r="AB332" s="253" t="str">
        <f t="shared" si="21"/>
        <v/>
      </c>
      <c r="AC332" s="254">
        <f>IF(COUNTIF(AD$78:AD332,AD332)=1,MAX(AC$78:AC331)+1,"")</f>
        <v>33</v>
      </c>
      <c r="AD332" s="215">
        <f>'[2]Изложницы без бурта'!B332</f>
        <v>170</v>
      </c>
      <c r="AE332" s="215">
        <f>'[2]Изложницы без бурта'!C332</f>
        <v>265</v>
      </c>
      <c r="AF332" s="56">
        <f>'[2]Изложницы без бурта'!D332</f>
        <v>285</v>
      </c>
      <c r="AG332" s="56">
        <f>'[2]Изложницы без бурта'!E332</f>
        <v>320</v>
      </c>
      <c r="AH332" s="56" t="str">
        <f>'[2]Изложницы без бурта'!F332</f>
        <v>72.11870 - 13</v>
      </c>
      <c r="AI332" s="56">
        <f>'[2]Изложницы без бурта'!G332</f>
        <v>0</v>
      </c>
      <c r="AJ332" s="56">
        <f>'[2]Изложницы без бурта'!H332</f>
        <v>0</v>
      </c>
      <c r="AK332" s="56">
        <f>'[2]Изложницы без бурта'!I332</f>
        <v>0</v>
      </c>
      <c r="AL332" s="56" t="s">
        <v>598</v>
      </c>
      <c r="AM332" s="56">
        <f>'[2]Изложницы без бурта'!K332</f>
        <v>0</v>
      </c>
    </row>
    <row r="333" spans="1:39" x14ac:dyDescent="0.25">
      <c r="A333" s="310"/>
      <c r="B333" s="1234"/>
      <c r="AB333" s="253" t="str">
        <f t="shared" si="21"/>
        <v/>
      </c>
      <c r="AC333" s="254" t="str">
        <f>IF(COUNTIF(AD$78:AD333,AD333)=1,MAX(AC$78:AC332)+1,"")</f>
        <v/>
      </c>
      <c r="AD333" s="215">
        <f>'[2]Изложницы без бурта'!B333</f>
        <v>170</v>
      </c>
      <c r="AE333" s="215">
        <f>'[2]Изложницы без бурта'!C333</f>
        <v>320</v>
      </c>
      <c r="AF333" s="56">
        <f>'[2]Изложницы без бурта'!D333</f>
        <v>285</v>
      </c>
      <c r="AG333" s="56">
        <f>'[2]Изложницы без бурта'!E333</f>
        <v>320</v>
      </c>
      <c r="AH333" s="56" t="str">
        <f>'[2]Изложницы без бурта'!F333</f>
        <v>72.11871 - 13</v>
      </c>
      <c r="AI333" s="56">
        <f>'[2]Изложницы без бурта'!G333</f>
        <v>0</v>
      </c>
      <c r="AJ333" s="56">
        <f>'[2]Изложницы без бурта'!H333</f>
        <v>0</v>
      </c>
      <c r="AK333" s="56">
        <f>'[2]Изложницы без бурта'!I333</f>
        <v>0</v>
      </c>
      <c r="AL333" s="56" t="s">
        <v>598</v>
      </c>
      <c r="AM333" s="56">
        <f>'[2]Изложницы без бурта'!K333</f>
        <v>0</v>
      </c>
    </row>
    <row r="334" spans="1:39" x14ac:dyDescent="0.25">
      <c r="A334" s="310"/>
      <c r="B334" s="1234"/>
      <c r="AB334" s="253" t="str">
        <f t="shared" si="21"/>
        <v/>
      </c>
      <c r="AC334" s="254" t="str">
        <f>IF(COUNTIF(AD$78:AD334,AD334)=1,MAX(AC$78:AC333)+1,"")</f>
        <v/>
      </c>
      <c r="AD334" s="215">
        <f>'[2]Изложницы без бурта'!B334</f>
        <v>170</v>
      </c>
      <c r="AE334" s="215">
        <f>'[2]Изложницы без бурта'!C334</f>
        <v>265</v>
      </c>
      <c r="AF334" s="56">
        <f>'[2]Изложницы без бурта'!D334</f>
        <v>285</v>
      </c>
      <c r="AG334" s="56">
        <f>'[2]Изложницы без бурта'!E334</f>
        <v>320</v>
      </c>
      <c r="AH334" s="56" t="str">
        <f>'[2]Изложницы без бурта'!F334</f>
        <v>72.11870 - 13</v>
      </c>
      <c r="AI334" s="56">
        <f>'[2]Изложницы без бурта'!G334</f>
        <v>0</v>
      </c>
      <c r="AJ334" s="56">
        <f>'[2]Изложницы без бурта'!H334</f>
        <v>0</v>
      </c>
      <c r="AK334" s="56">
        <f>'[2]Изложницы без бурта'!I334</f>
        <v>0</v>
      </c>
      <c r="AL334" s="56" t="s">
        <v>598</v>
      </c>
      <c r="AM334" s="56">
        <f>'[2]Изложницы без бурта'!K334</f>
        <v>0</v>
      </c>
    </row>
    <row r="335" spans="1:39" x14ac:dyDescent="0.25">
      <c r="A335" s="310"/>
      <c r="B335" s="1234"/>
      <c r="AB335" s="253" t="str">
        <f t="shared" si="21"/>
        <v/>
      </c>
      <c r="AC335" s="254" t="str">
        <f>IF(COUNTIF(AD$78:AD335,AD335)=1,MAX(AC$78:AC334)+1,"")</f>
        <v/>
      </c>
      <c r="AD335" s="215">
        <f>'[2]Изложницы без бурта'!B335</f>
        <v>170</v>
      </c>
      <c r="AE335" s="215">
        <f>'[2]Изложницы без бурта'!C335</f>
        <v>377</v>
      </c>
      <c r="AF335" s="56">
        <f>'[2]Изложницы без бурта'!D335</f>
        <v>285</v>
      </c>
      <c r="AG335" s="56">
        <f>'[2]Изложницы без бурта'!E335</f>
        <v>320</v>
      </c>
      <c r="AH335" s="56" t="str">
        <f>'[2]Изложницы без бурта'!F335</f>
        <v>72.42461 - 13</v>
      </c>
      <c r="AI335" s="56">
        <f>'[2]Изложницы без бурта'!G335</f>
        <v>0</v>
      </c>
      <c r="AJ335" s="56">
        <f>'[2]Изложницы без бурта'!H335</f>
        <v>0</v>
      </c>
      <c r="AK335" s="56">
        <f>'[2]Изложницы без бурта'!I335</f>
        <v>0</v>
      </c>
      <c r="AL335" s="56" t="s">
        <v>598</v>
      </c>
      <c r="AM335" s="56">
        <f>'[2]Изложницы без бурта'!K335</f>
        <v>0</v>
      </c>
    </row>
    <row r="336" spans="1:39" x14ac:dyDescent="0.25">
      <c r="A336" s="310"/>
      <c r="B336" s="1234"/>
      <c r="AB336" s="253" t="str">
        <f t="shared" si="21"/>
        <v/>
      </c>
      <c r="AC336" s="254" t="str">
        <f>IF(COUNTIF(AD$78:AD336,AD336)=1,MAX(AC$78:AC335)+1,"")</f>
        <v/>
      </c>
      <c r="AD336" s="215">
        <f>'[2]Изложницы без бурта'!B336</f>
        <v>170</v>
      </c>
      <c r="AE336" s="215">
        <f>'[2]Изложницы без бурта'!C336</f>
        <v>265</v>
      </c>
      <c r="AF336" s="56">
        <f>'[2]Изложницы без бурта'!D336</f>
        <v>285</v>
      </c>
      <c r="AG336" s="56">
        <f>'[2]Изложницы без бурта'!E336</f>
        <v>320</v>
      </c>
      <c r="AH336" s="56" t="str">
        <f>'[2]Изложницы без бурта'!F336</f>
        <v>72.11870 - 13</v>
      </c>
      <c r="AI336" s="56">
        <f>'[2]Изложницы без бурта'!G336</f>
        <v>0</v>
      </c>
      <c r="AJ336" s="56">
        <f>'[2]Изложницы без бурта'!H336</f>
        <v>0</v>
      </c>
      <c r="AK336" s="56">
        <f>'[2]Изложницы без бурта'!I336</f>
        <v>0</v>
      </c>
      <c r="AL336" s="56" t="s">
        <v>598</v>
      </c>
      <c r="AM336" s="56">
        <f>'[2]Изложницы без бурта'!K336</f>
        <v>0</v>
      </c>
    </row>
    <row r="337" spans="1:39" x14ac:dyDescent="0.25">
      <c r="A337" s="310"/>
      <c r="B337" s="1234"/>
      <c r="AB337" s="253" t="str">
        <f t="shared" si="21"/>
        <v/>
      </c>
      <c r="AC337" s="254" t="str">
        <f>IF(COUNTIF(AD$78:AD337,AD337)=1,MAX(AC$78:AC336)+1,"")</f>
        <v/>
      </c>
      <c r="AD337" s="215">
        <f>'[2]Изложницы без бурта'!B337</f>
        <v>170</v>
      </c>
      <c r="AE337" s="215">
        <f>'[2]Изложницы без бурта'!C337</f>
        <v>317</v>
      </c>
      <c r="AF337" s="56">
        <f>'[2]Изложницы без бурта'!D337</f>
        <v>285</v>
      </c>
      <c r="AG337" s="56">
        <f>'[2]Изложницы без бурта'!E337</f>
        <v>320</v>
      </c>
      <c r="AH337" s="56" t="str">
        <f>'[2]Изложницы без бурта'!F337</f>
        <v>72.11871 - 13</v>
      </c>
      <c r="AI337" s="56">
        <f>'[2]Изложницы без бурта'!G337</f>
        <v>0</v>
      </c>
      <c r="AJ337" s="56">
        <f>'[2]Изложницы без бурта'!H337</f>
        <v>0</v>
      </c>
      <c r="AK337" s="56">
        <f>'[2]Изложницы без бурта'!I337</f>
        <v>0</v>
      </c>
      <c r="AL337" s="56" t="s">
        <v>598</v>
      </c>
      <c r="AM337" s="56">
        <f>'[2]Изложницы без бурта'!K337</f>
        <v>0</v>
      </c>
    </row>
    <row r="338" spans="1:39" x14ac:dyDescent="0.25">
      <c r="A338" s="310"/>
      <c r="B338" s="1234"/>
      <c r="AB338" s="253" t="str">
        <f t="shared" si="21"/>
        <v/>
      </c>
      <c r="AC338" s="254" t="str">
        <f>IF(COUNTIF(AD$78:AD338,AD338)=1,MAX(AC$78:AC337)+1,"")</f>
        <v/>
      </c>
      <c r="AD338" s="215">
        <f>'[2]Изложницы без бурта'!B338</f>
        <v>170</v>
      </c>
      <c r="AE338" s="215">
        <f>'[2]Изложницы без бурта'!C338</f>
        <v>320</v>
      </c>
      <c r="AF338" s="56">
        <f>'[2]Изложницы без бурта'!D338</f>
        <v>285</v>
      </c>
      <c r="AG338" s="56">
        <f>'[2]Изложницы без бурта'!E338</f>
        <v>320</v>
      </c>
      <c r="AH338" s="56" t="str">
        <f>'[2]Изложницы без бурта'!F338</f>
        <v>72.11871 - 13</v>
      </c>
      <c r="AI338" s="56">
        <f>'[2]Изложницы без бурта'!G338</f>
        <v>0</v>
      </c>
      <c r="AJ338" s="56">
        <f>'[2]Изложницы без бурта'!H338</f>
        <v>0</v>
      </c>
      <c r="AK338" s="56">
        <f>'[2]Изложницы без бурта'!I338</f>
        <v>0</v>
      </c>
      <c r="AL338" s="56" t="s">
        <v>598</v>
      </c>
      <c r="AM338" s="56">
        <f>'[2]Изложницы без бурта'!K338</f>
        <v>0</v>
      </c>
    </row>
    <row r="339" spans="1:39" x14ac:dyDescent="0.25">
      <c r="A339" s="310"/>
      <c r="B339" s="1234"/>
      <c r="AB339" s="253" t="str">
        <f t="shared" si="21"/>
        <v/>
      </c>
      <c r="AC339" s="254" t="str">
        <f>IF(COUNTIF(AD$78:AD339,AD339)=1,MAX(AC$78:AC338)+1,"")</f>
        <v/>
      </c>
      <c r="AD339" s="215">
        <f>'[2]Изложницы без бурта'!B339</f>
        <v>170</v>
      </c>
      <c r="AE339" s="215">
        <f>'[2]Изложницы без бурта'!C339</f>
        <v>260</v>
      </c>
      <c r="AF339" s="56">
        <f>'[2]Изложницы без бурта'!D339</f>
        <v>285</v>
      </c>
      <c r="AG339" s="56">
        <f>'[2]Изложницы без бурта'!E339</f>
        <v>320</v>
      </c>
      <c r="AH339" s="56" t="str">
        <f>'[2]Изложницы без бурта'!F339</f>
        <v>72.11870 - 13</v>
      </c>
      <c r="AI339" s="56">
        <f>'[2]Изложницы без бурта'!G339</f>
        <v>0</v>
      </c>
      <c r="AJ339" s="56">
        <f>'[2]Изложницы без бурта'!H339</f>
        <v>0</v>
      </c>
      <c r="AK339" s="56">
        <f>'[2]Изложницы без бурта'!I339</f>
        <v>0</v>
      </c>
      <c r="AL339" s="56" t="s">
        <v>598</v>
      </c>
      <c r="AM339" s="56">
        <f>'[2]Изложницы без бурта'!K339</f>
        <v>0</v>
      </c>
    </row>
    <row r="340" spans="1:39" x14ac:dyDescent="0.25">
      <c r="A340" s="310"/>
      <c r="B340" s="1234"/>
      <c r="AB340" s="253" t="str">
        <f t="shared" si="21"/>
        <v/>
      </c>
      <c r="AC340" s="254">
        <f>IF(COUNTIF(AD$78:AD340,AD340)=1,MAX(AC$78:AC339)+1,"")</f>
        <v>34</v>
      </c>
      <c r="AD340" s="215">
        <f>'[2]Изложницы без бурта'!B340</f>
        <v>172.5</v>
      </c>
      <c r="AE340" s="215">
        <f>'[2]Изложницы без бурта'!C340</f>
        <v>265</v>
      </c>
      <c r="AF340" s="56">
        <f>'[2]Изложницы без бурта'!D340</f>
        <v>285</v>
      </c>
      <c r="AG340" s="56">
        <f>'[2]Изложницы без бурта'!E340</f>
        <v>320</v>
      </c>
      <c r="AH340" s="56" t="str">
        <f>'[2]Изложницы без бурта'!F340</f>
        <v>72.11870 - 14</v>
      </c>
      <c r="AI340" s="56">
        <f>'[2]Изложницы без бурта'!G340</f>
        <v>0</v>
      </c>
      <c r="AJ340" s="56">
        <f>'[2]Изложницы без бурта'!H340</f>
        <v>0</v>
      </c>
      <c r="AK340" s="56">
        <f>'[2]Изложницы без бурта'!I340</f>
        <v>0</v>
      </c>
      <c r="AL340" s="56" t="s">
        <v>599</v>
      </c>
      <c r="AM340" s="56">
        <f>'[2]Изложницы без бурта'!K340</f>
        <v>0</v>
      </c>
    </row>
    <row r="341" spans="1:39" x14ac:dyDescent="0.25">
      <c r="A341" s="310"/>
      <c r="B341" s="1234"/>
      <c r="AB341" s="253" t="str">
        <f t="shared" si="21"/>
        <v/>
      </c>
      <c r="AC341" s="254" t="str">
        <f>IF(COUNTIF(AD$78:AD341,AD341)=1,MAX(AC$78:AC340)+1,"")</f>
        <v/>
      </c>
      <c r="AD341" s="215">
        <f>'[2]Изложницы без бурта'!B341</f>
        <v>172.5</v>
      </c>
      <c r="AE341" s="215">
        <f>'[2]Изложницы без бурта'!C341</f>
        <v>278</v>
      </c>
      <c r="AF341" s="56">
        <f>'[2]Изложницы без бурта'!D341</f>
        <v>285</v>
      </c>
      <c r="AG341" s="56">
        <f>'[2]Изложницы без бурта'!E341</f>
        <v>320</v>
      </c>
      <c r="AH341" s="56" t="str">
        <f>'[2]Изложницы без бурта'!F341</f>
        <v>72.11870 - 14</v>
      </c>
      <c r="AI341" s="56">
        <f>'[2]Изложницы без бурта'!G341</f>
        <v>0</v>
      </c>
      <c r="AJ341" s="56">
        <f>'[2]Изложницы без бурта'!H341</f>
        <v>0</v>
      </c>
      <c r="AK341" s="56">
        <f>'[2]Изложницы без бурта'!I341</f>
        <v>0</v>
      </c>
      <c r="AL341" s="56" t="s">
        <v>599</v>
      </c>
      <c r="AM341" s="56">
        <f>'[2]Изложницы без бурта'!K341</f>
        <v>0</v>
      </c>
    </row>
    <row r="342" spans="1:39" x14ac:dyDescent="0.25">
      <c r="A342" s="310"/>
      <c r="B342" s="1234"/>
      <c r="AB342" s="253" t="str">
        <f t="shared" si="21"/>
        <v/>
      </c>
      <c r="AC342" s="254" t="str">
        <f>IF(COUNTIF(AD$78:AD342,AD342)=1,MAX(AC$78:AC341)+1,"")</f>
        <v/>
      </c>
      <c r="AD342" s="215">
        <f>'[2]Изложницы без бурта'!B342</f>
        <v>172.5</v>
      </c>
      <c r="AE342" s="215">
        <f>'[2]Изложницы без бурта'!C342</f>
        <v>377</v>
      </c>
      <c r="AF342" s="56">
        <f>'[2]Изложницы без бурта'!D342</f>
        <v>285</v>
      </c>
      <c r="AG342" s="56">
        <f>'[2]Изложницы без бурта'!E342</f>
        <v>320</v>
      </c>
      <c r="AH342" s="56" t="str">
        <f>'[2]Изложницы без бурта'!F342</f>
        <v>72.42461 - 14</v>
      </c>
      <c r="AI342" s="56">
        <f>'[2]Изложницы без бурта'!G342</f>
        <v>7260007</v>
      </c>
      <c r="AJ342" s="56">
        <f>'[2]Изложницы без бурта'!H342</f>
        <v>0</v>
      </c>
      <c r="AK342" s="56">
        <f>'[2]Изложницы без бурта'!I342</f>
        <v>0</v>
      </c>
      <c r="AL342" s="56" t="s">
        <v>599</v>
      </c>
      <c r="AM342" s="56">
        <f>'[2]Изложницы без бурта'!K342</f>
        <v>0</v>
      </c>
    </row>
    <row r="343" spans="1:39" x14ac:dyDescent="0.25">
      <c r="A343" s="310"/>
      <c r="B343" s="1234"/>
      <c r="AB343" s="253" t="str">
        <f t="shared" si="21"/>
        <v/>
      </c>
      <c r="AC343" s="254" t="str">
        <f>IF(COUNTIF(AD$78:AD343,AD343)=1,MAX(AC$78:AC342)+1,"")</f>
        <v/>
      </c>
      <c r="AD343" s="215">
        <f>'[2]Изложницы без бурта'!B343</f>
        <v>172.5</v>
      </c>
      <c r="AE343" s="215">
        <f>'[2]Изложницы без бурта'!C343</f>
        <v>265</v>
      </c>
      <c r="AF343" s="56">
        <f>'[2]Изложницы без бурта'!D343</f>
        <v>285</v>
      </c>
      <c r="AG343" s="56">
        <f>'[2]Изложницы без бурта'!E343</f>
        <v>320</v>
      </c>
      <c r="AH343" s="56" t="str">
        <f>'[2]Изложницы без бурта'!F343</f>
        <v>72.11870 - 14</v>
      </c>
      <c r="AI343" s="56">
        <f>'[2]Изложницы без бурта'!G343</f>
        <v>0</v>
      </c>
      <c r="AJ343" s="56">
        <f>'[2]Изложницы без бурта'!H343</f>
        <v>0</v>
      </c>
      <c r="AK343" s="56">
        <f>'[2]Изложницы без бурта'!I343</f>
        <v>0</v>
      </c>
      <c r="AL343" s="56" t="s">
        <v>599</v>
      </c>
      <c r="AM343" s="56">
        <f>'[2]Изложницы без бурта'!K343</f>
        <v>0</v>
      </c>
    </row>
    <row r="344" spans="1:39" x14ac:dyDescent="0.25">
      <c r="A344" s="310"/>
      <c r="B344" s="1234"/>
      <c r="AB344" s="253" t="str">
        <f t="shared" si="21"/>
        <v/>
      </c>
      <c r="AC344" s="254">
        <f>IF(COUNTIF(AD$78:AD344,AD344)=1,MAX(AC$78:AC343)+1,"")</f>
        <v>35</v>
      </c>
      <c r="AD344" s="215">
        <f>'[2]Изложницы без бурта'!B344</f>
        <v>175</v>
      </c>
      <c r="AE344" s="215">
        <f>'[2]Изложницы без бурта'!C344</f>
        <v>260</v>
      </c>
      <c r="AF344" s="56">
        <f>'[2]Изложницы без бурта'!D344</f>
        <v>285</v>
      </c>
      <c r="AG344" s="56">
        <f>'[2]Изложницы без бурта'!E344</f>
        <v>320</v>
      </c>
      <c r="AH344" s="56" t="str">
        <f>'[2]Изложницы без бурта'!F344</f>
        <v>72.11870 - 15</v>
      </c>
      <c r="AI344" s="56">
        <f>'[2]Изложницы без бурта'!G344</f>
        <v>0</v>
      </c>
      <c r="AJ344" s="56">
        <f>'[2]Изложницы без бурта'!H344</f>
        <v>0</v>
      </c>
      <c r="AK344" s="56">
        <f>'[2]Изложницы без бурта'!I344</f>
        <v>0</v>
      </c>
      <c r="AL344" s="56" t="s">
        <v>600</v>
      </c>
      <c r="AM344" s="56">
        <f>'[2]Изложницы без бурта'!K344</f>
        <v>0</v>
      </c>
    </row>
    <row r="345" spans="1:39" x14ac:dyDescent="0.25">
      <c r="A345" s="310"/>
      <c r="B345" s="1234"/>
      <c r="AB345" s="253" t="str">
        <f t="shared" si="21"/>
        <v/>
      </c>
      <c r="AC345" s="254" t="str">
        <f>IF(COUNTIF(AD$78:AD345,AD345)=1,MAX(AC$78:AC344)+1,"")</f>
        <v/>
      </c>
      <c r="AD345" s="215">
        <f>'[2]Изложницы без бурта'!B345</f>
        <v>175</v>
      </c>
      <c r="AE345" s="215">
        <f>'[2]Изложницы без бурта'!C345</f>
        <v>265</v>
      </c>
      <c r="AF345" s="56">
        <f>'[2]Изложницы без бурта'!D345</f>
        <v>285</v>
      </c>
      <c r="AG345" s="56">
        <f>'[2]Изложницы без бурта'!E345</f>
        <v>320</v>
      </c>
      <c r="AH345" s="56" t="str">
        <f>'[2]Изложницы без бурта'!F345</f>
        <v>72.11870 - 15</v>
      </c>
      <c r="AI345" s="56">
        <f>'[2]Изложницы без бурта'!G345</f>
        <v>0</v>
      </c>
      <c r="AJ345" s="56">
        <f>'[2]Изложницы без бурта'!H345</f>
        <v>0</v>
      </c>
      <c r="AK345" s="56">
        <f>'[2]Изложницы без бурта'!I345</f>
        <v>0</v>
      </c>
      <c r="AL345" s="56" t="s">
        <v>600</v>
      </c>
      <c r="AM345" s="56">
        <f>'[2]Изложницы без бурта'!K345</f>
        <v>0</v>
      </c>
    </row>
    <row r="346" spans="1:39" x14ac:dyDescent="0.25">
      <c r="A346" s="310"/>
      <c r="B346" s="1234"/>
      <c r="AB346" s="253" t="str">
        <f t="shared" si="21"/>
        <v/>
      </c>
      <c r="AC346" s="254" t="str">
        <f>IF(COUNTIF(AD$78:AD346,AD346)=1,MAX(AC$78:AC345)+1,"")</f>
        <v/>
      </c>
      <c r="AD346" s="215">
        <f>'[2]Изложницы без бурта'!B346</f>
        <v>175</v>
      </c>
      <c r="AE346" s="215">
        <f>'[2]Изложницы без бурта'!C346</f>
        <v>260</v>
      </c>
      <c r="AF346" s="56">
        <f>'[2]Изложницы без бурта'!D346</f>
        <v>360</v>
      </c>
      <c r="AG346" s="56">
        <f>'[2]Изложницы без бурта'!E346</f>
        <v>320</v>
      </c>
      <c r="AH346" s="56" t="str">
        <f>'[2]Изложницы без бурта'!F346</f>
        <v>72.11870 - 15</v>
      </c>
      <c r="AI346" s="56">
        <f>'[2]Изложницы без бурта'!G346</f>
        <v>0</v>
      </c>
      <c r="AJ346" s="56">
        <f>'[2]Изложницы без бурта'!H346</f>
        <v>0</v>
      </c>
      <c r="AK346" s="56">
        <f>'[2]Изложницы без бурта'!I346</f>
        <v>0</v>
      </c>
      <c r="AL346" s="56" t="s">
        <v>600</v>
      </c>
      <c r="AM346" s="56">
        <f>'[2]Изложницы без бурта'!K346</f>
        <v>0</v>
      </c>
    </row>
    <row r="347" spans="1:39" x14ac:dyDescent="0.25">
      <c r="A347" s="310"/>
      <c r="B347" s="1234"/>
      <c r="AB347" s="253" t="str">
        <f t="shared" si="21"/>
        <v/>
      </c>
      <c r="AC347" s="254" t="str">
        <f>IF(COUNTIF(AD$78:AD347,AD347)=1,MAX(AC$78:AC346)+1,"")</f>
        <v/>
      </c>
      <c r="AD347" s="215">
        <f>'[2]Изложницы без бурта'!B347</f>
        <v>175</v>
      </c>
      <c r="AE347" s="215">
        <f>'[2]Изложницы без бурта'!C347</f>
        <v>260</v>
      </c>
      <c r="AF347" s="56">
        <f>'[2]Изложницы без бурта'!D347</f>
        <v>285</v>
      </c>
      <c r="AG347" s="56">
        <f>'[2]Изложницы без бурта'!E347</f>
        <v>320</v>
      </c>
      <c r="AH347" s="56" t="str">
        <f>'[2]Изложницы без бурта'!F347</f>
        <v>72.11870 - 15</v>
      </c>
      <c r="AI347" s="56">
        <f>'[2]Изложницы без бурта'!G347</f>
        <v>0</v>
      </c>
      <c r="AJ347" s="56">
        <f>'[2]Изложницы без бурта'!H347</f>
        <v>0</v>
      </c>
      <c r="AK347" s="56">
        <f>'[2]Изложницы без бурта'!I347</f>
        <v>0</v>
      </c>
      <c r="AL347" s="56" t="s">
        <v>600</v>
      </c>
      <c r="AM347" s="56">
        <f>'[2]Изложницы без бурта'!K347</f>
        <v>0</v>
      </c>
    </row>
    <row r="348" spans="1:39" x14ac:dyDescent="0.25">
      <c r="A348" s="310"/>
      <c r="B348" s="1234"/>
      <c r="AB348" s="253" t="str">
        <f t="shared" si="21"/>
        <v/>
      </c>
      <c r="AC348" s="254" t="str">
        <f>IF(COUNTIF(AD$78:AD348,AD348)=1,MAX(AC$78:AC347)+1,"")</f>
        <v/>
      </c>
      <c r="AD348" s="215">
        <f>'[2]Изложницы без бурта'!B348</f>
        <v>175</v>
      </c>
      <c r="AE348" s="215">
        <f>'[2]Изложницы без бурта'!C348</f>
        <v>317</v>
      </c>
      <c r="AF348" s="56">
        <f>'[2]Изложницы без бурта'!D348</f>
        <v>285</v>
      </c>
      <c r="AG348" s="56">
        <f>'[2]Изложницы без бурта'!E348</f>
        <v>320</v>
      </c>
      <c r="AH348" s="56" t="str">
        <f>'[2]Изложницы без бурта'!F348</f>
        <v>72.11871 - 15</v>
      </c>
      <c r="AI348" s="56">
        <f>'[2]Изложницы без бурта'!G348</f>
        <v>7260008</v>
      </c>
      <c r="AJ348" s="56">
        <f>'[2]Изложницы без бурта'!H348</f>
        <v>0</v>
      </c>
      <c r="AK348" s="56">
        <f>'[2]Изложницы без бурта'!I348</f>
        <v>0</v>
      </c>
      <c r="AL348" s="56" t="s">
        <v>600</v>
      </c>
      <c r="AM348" s="56">
        <f>'[2]Изложницы без бурта'!K348</f>
        <v>0</v>
      </c>
    </row>
    <row r="349" spans="1:39" x14ac:dyDescent="0.25">
      <c r="A349" s="310"/>
      <c r="B349" s="1234"/>
      <c r="AB349" s="253" t="str">
        <f t="shared" si="21"/>
        <v/>
      </c>
      <c r="AC349" s="254" t="str">
        <f>IF(COUNTIF(AD$78:AD349,AD349)=1,MAX(AC$78:AC348)+1,"")</f>
        <v/>
      </c>
      <c r="AD349" s="215">
        <f>'[2]Изложницы без бурта'!B349</f>
        <v>175</v>
      </c>
      <c r="AE349" s="215">
        <f>'[2]Изложницы без бурта'!C349</f>
        <v>262</v>
      </c>
      <c r="AF349" s="56">
        <f>'[2]Изложницы без бурта'!D349</f>
        <v>285</v>
      </c>
      <c r="AG349" s="56">
        <f>'[2]Изложницы без бурта'!E349</f>
        <v>320</v>
      </c>
      <c r="AH349" s="56" t="str">
        <f>'[2]Изложницы без бурта'!F349</f>
        <v>72.11870 - 15</v>
      </c>
      <c r="AI349" s="56">
        <f>'[2]Изложницы без бурта'!G349</f>
        <v>0</v>
      </c>
      <c r="AJ349" s="56">
        <f>'[2]Изложницы без бурта'!H349</f>
        <v>0</v>
      </c>
      <c r="AK349" s="56">
        <f>'[2]Изложницы без бурта'!I349</f>
        <v>0</v>
      </c>
      <c r="AL349" s="56" t="s">
        <v>600</v>
      </c>
      <c r="AM349" s="56">
        <f>'[2]Изложницы без бурта'!K349</f>
        <v>0</v>
      </c>
    </row>
    <row r="350" spans="1:39" x14ac:dyDescent="0.25">
      <c r="A350" s="310"/>
      <c r="B350" s="1234"/>
      <c r="AB350" s="253" t="str">
        <f t="shared" si="21"/>
        <v/>
      </c>
      <c r="AC350" s="254" t="str">
        <f>IF(COUNTIF(AD$78:AD350,AD350)=1,MAX(AC$78:AC349)+1,"")</f>
        <v/>
      </c>
      <c r="AD350" s="215">
        <f>'[2]Изложницы без бурта'!B350</f>
        <v>175</v>
      </c>
      <c r="AE350" s="215">
        <f>'[2]Изложницы без бурта'!C350</f>
        <v>265</v>
      </c>
      <c r="AF350" s="56">
        <f>'[2]Изложницы без бурта'!D350</f>
        <v>285</v>
      </c>
      <c r="AG350" s="56">
        <f>'[2]Изложницы без бурта'!E350</f>
        <v>320</v>
      </c>
      <c r="AH350" s="56" t="str">
        <f>'[2]Изложницы без бурта'!F350</f>
        <v>72.11870 - 15</v>
      </c>
      <c r="AI350" s="56">
        <f>'[2]Изложницы без бурта'!G350</f>
        <v>0</v>
      </c>
      <c r="AJ350" s="56">
        <f>'[2]Изложницы без бурта'!H350</f>
        <v>0</v>
      </c>
      <c r="AK350" s="56">
        <f>'[2]Изложницы без бурта'!I350</f>
        <v>0</v>
      </c>
      <c r="AL350" s="56" t="s">
        <v>600</v>
      </c>
      <c r="AM350" s="56">
        <f>'[2]Изложницы без бурта'!K350</f>
        <v>0</v>
      </c>
    </row>
    <row r="351" spans="1:39" x14ac:dyDescent="0.25">
      <c r="A351" s="310"/>
      <c r="B351" s="1234"/>
      <c r="AB351" s="253" t="str">
        <f t="shared" si="21"/>
        <v/>
      </c>
      <c r="AC351" s="254" t="str">
        <f>IF(COUNTIF(AD$78:AD351,AD351)=1,MAX(AC$78:AC350)+1,"")</f>
        <v/>
      </c>
      <c r="AD351" s="215">
        <f>'[2]Изложницы без бурта'!B351</f>
        <v>175</v>
      </c>
      <c r="AE351" s="215">
        <f>'[2]Изложницы без бурта'!C351</f>
        <v>320</v>
      </c>
      <c r="AF351" s="56">
        <f>'[2]Изложницы без бурта'!D351</f>
        <v>285</v>
      </c>
      <c r="AG351" s="56">
        <f>'[2]Изложницы без бурта'!E351</f>
        <v>320</v>
      </c>
      <c r="AH351" s="56" t="str">
        <f>'[2]Изложницы без бурта'!F351</f>
        <v>72.11871 - 15</v>
      </c>
      <c r="AI351" s="56">
        <f>'[2]Изложницы без бурта'!G351</f>
        <v>7260008</v>
      </c>
      <c r="AJ351" s="56">
        <f>'[2]Изложницы без бурта'!H351</f>
        <v>0</v>
      </c>
      <c r="AK351" s="56">
        <f>'[2]Изложницы без бурта'!I351</f>
        <v>0</v>
      </c>
      <c r="AL351" s="56" t="s">
        <v>600</v>
      </c>
      <c r="AM351" s="56">
        <f>'[2]Изложницы без бурта'!K351</f>
        <v>0</v>
      </c>
    </row>
    <row r="352" spans="1:39" x14ac:dyDescent="0.25">
      <c r="A352" s="310"/>
      <c r="B352" s="1234"/>
      <c r="AB352" s="253" t="str">
        <f t="shared" si="21"/>
        <v/>
      </c>
      <c r="AC352" s="254" t="str">
        <f>IF(COUNTIF(AD$78:AD352,AD352)=1,MAX(AC$78:AC351)+1,"")</f>
        <v/>
      </c>
      <c r="AD352" s="215">
        <f>'[2]Изложницы без бурта'!B352</f>
        <v>175</v>
      </c>
      <c r="AE352" s="215">
        <f>'[2]Изложницы без бурта'!C352</f>
        <v>265</v>
      </c>
      <c r="AF352" s="56">
        <f>'[2]Изложницы без бурта'!D352</f>
        <v>285</v>
      </c>
      <c r="AG352" s="56">
        <f>'[2]Изложницы без бурта'!E352</f>
        <v>320</v>
      </c>
      <c r="AH352" s="56" t="str">
        <f>'[2]Изложницы без бурта'!F352</f>
        <v>72.11870 - 15</v>
      </c>
      <c r="AI352" s="56">
        <f>'[2]Изложницы без бурта'!G352</f>
        <v>0</v>
      </c>
      <c r="AJ352" s="56">
        <f>'[2]Изложницы без бурта'!H352</f>
        <v>0</v>
      </c>
      <c r="AK352" s="56">
        <f>'[2]Изложницы без бурта'!I352</f>
        <v>0</v>
      </c>
      <c r="AL352" s="56" t="s">
        <v>600</v>
      </c>
      <c r="AM352" s="56">
        <f>'[2]Изложницы без бурта'!K352</f>
        <v>0</v>
      </c>
    </row>
    <row r="353" spans="1:39" x14ac:dyDescent="0.25">
      <c r="A353" s="310"/>
      <c r="B353" s="1234"/>
      <c r="AB353" s="253" t="str">
        <f t="shared" si="21"/>
        <v/>
      </c>
      <c r="AC353" s="254" t="str">
        <f>IF(COUNTIF(AD$78:AD353,AD353)=1,MAX(AC$78:AC352)+1,"")</f>
        <v/>
      </c>
      <c r="AD353" s="215">
        <f>'[2]Изложницы без бурта'!B353</f>
        <v>175</v>
      </c>
      <c r="AE353" s="215">
        <f>'[2]Изложницы без бурта'!C353</f>
        <v>265</v>
      </c>
      <c r="AF353" s="56">
        <f>'[2]Изложницы без бурта'!D353</f>
        <v>285</v>
      </c>
      <c r="AG353" s="56">
        <f>'[2]Изложницы без бурта'!E353</f>
        <v>320</v>
      </c>
      <c r="AH353" s="56" t="str">
        <f>'[2]Изложницы без бурта'!F353</f>
        <v>72.11870 - 15</v>
      </c>
      <c r="AI353" s="56">
        <f>'[2]Изложницы без бурта'!G353</f>
        <v>0</v>
      </c>
      <c r="AJ353" s="56">
        <f>'[2]Изложницы без бурта'!H353</f>
        <v>0</v>
      </c>
      <c r="AK353" s="56">
        <f>'[2]Изложницы без бурта'!I353</f>
        <v>0</v>
      </c>
      <c r="AL353" s="56" t="s">
        <v>600</v>
      </c>
      <c r="AM353" s="56">
        <f>'[2]Изложницы без бурта'!K353</f>
        <v>0</v>
      </c>
    </row>
    <row r="354" spans="1:39" x14ac:dyDescent="0.25">
      <c r="A354" s="310"/>
      <c r="B354" s="1234"/>
      <c r="AB354" s="253" t="str">
        <f t="shared" si="21"/>
        <v/>
      </c>
      <c r="AC354" s="254">
        <f>IF(COUNTIF(AD$78:AD354,AD354)=1,MAX(AC$78:AC353)+1,"")</f>
        <v>36</v>
      </c>
      <c r="AD354" s="215">
        <f>'[2]Изложницы без бурта'!B354</f>
        <v>177.5</v>
      </c>
      <c r="AE354" s="215">
        <f>'[2]Изложницы без бурта'!C354</f>
        <v>265</v>
      </c>
      <c r="AF354" s="56">
        <f>'[2]Изложницы без бурта'!D354</f>
        <v>285</v>
      </c>
      <c r="AG354" s="56">
        <f>'[2]Изложницы без бурта'!E354</f>
        <v>320</v>
      </c>
      <c r="AH354" s="56" t="str">
        <f>'[2]Изложницы без бурта'!F354</f>
        <v>72.11870 - 16</v>
      </c>
      <c r="AI354" s="56">
        <f>'[2]Изложницы без бурта'!G354</f>
        <v>0</v>
      </c>
      <c r="AJ354" s="56">
        <f>'[2]Изложницы без бурта'!H354</f>
        <v>0</v>
      </c>
      <c r="AK354" s="56">
        <f>'[2]Изложницы без бурта'!I354</f>
        <v>0</v>
      </c>
      <c r="AL354" s="56" t="s">
        <v>601</v>
      </c>
      <c r="AM354" s="56">
        <f>'[2]Изложницы без бурта'!K354</f>
        <v>0</v>
      </c>
    </row>
    <row r="355" spans="1:39" x14ac:dyDescent="0.25">
      <c r="A355" s="310"/>
      <c r="B355" s="1234"/>
      <c r="AB355" s="253" t="str">
        <f t="shared" si="21"/>
        <v/>
      </c>
      <c r="AC355" s="254" t="str">
        <f>IF(COUNTIF(AD$78:AD355,AD355)=1,MAX(AC$78:AC354)+1,"")</f>
        <v/>
      </c>
      <c r="AD355" s="215">
        <f>'[2]Изложницы без бурта'!B355</f>
        <v>177.5</v>
      </c>
      <c r="AE355" s="215">
        <f>'[2]Изложницы без бурта'!C355</f>
        <v>315</v>
      </c>
      <c r="AF355" s="56">
        <f>'[2]Изложницы без бурта'!D355</f>
        <v>285</v>
      </c>
      <c r="AG355" s="56">
        <f>'[2]Изложницы без бурта'!E355</f>
        <v>320</v>
      </c>
      <c r="AH355" s="56" t="str">
        <f>'[2]Изложницы без бурта'!F355</f>
        <v>72.11871 - 16</v>
      </c>
      <c r="AI355" s="56">
        <f>'[2]Изложницы без бурта'!G355</f>
        <v>7260009</v>
      </c>
      <c r="AJ355" s="56">
        <f>'[2]Изложницы без бурта'!H355</f>
        <v>0</v>
      </c>
      <c r="AK355" s="56">
        <f>'[2]Изложницы без бурта'!I355</f>
        <v>0</v>
      </c>
      <c r="AL355" s="56" t="s">
        <v>601</v>
      </c>
      <c r="AM355" s="56">
        <f>'[2]Изложницы без бурта'!K355</f>
        <v>0</v>
      </c>
    </row>
    <row r="356" spans="1:39" x14ac:dyDescent="0.25">
      <c r="A356" s="310"/>
      <c r="B356" s="1234"/>
      <c r="AB356" s="253" t="str">
        <f t="shared" si="21"/>
        <v/>
      </c>
      <c r="AC356" s="254" t="str">
        <f>IF(COUNTIF(AD$78:AD356,AD356)=1,MAX(AC$78:AC355)+1,"")</f>
        <v/>
      </c>
      <c r="AD356" s="215">
        <f>'[2]Изложницы без бурта'!B356</f>
        <v>177.5</v>
      </c>
      <c r="AE356" s="215">
        <f>'[2]Изложницы без бурта'!C356</f>
        <v>265</v>
      </c>
      <c r="AF356" s="56">
        <f>'[2]Изложницы без бурта'!D356</f>
        <v>285</v>
      </c>
      <c r="AG356" s="56">
        <f>'[2]Изложницы без бурта'!E356</f>
        <v>320</v>
      </c>
      <c r="AH356" s="56" t="str">
        <f>'[2]Изложницы без бурта'!F356</f>
        <v>72.11870 - 16</v>
      </c>
      <c r="AI356" s="56">
        <f>'[2]Изложницы без бурта'!G356</f>
        <v>0</v>
      </c>
      <c r="AJ356" s="56">
        <f>'[2]Изложницы без бурта'!H356</f>
        <v>0</v>
      </c>
      <c r="AK356" s="56">
        <f>'[2]Изложницы без бурта'!I356</f>
        <v>0</v>
      </c>
      <c r="AL356" s="56" t="s">
        <v>601</v>
      </c>
      <c r="AM356" s="56">
        <f>'[2]Изложницы без бурта'!K356</f>
        <v>0</v>
      </c>
    </row>
    <row r="357" spans="1:39" x14ac:dyDescent="0.25">
      <c r="A357" s="310"/>
      <c r="B357" s="1234"/>
      <c r="AB357" s="253" t="str">
        <f t="shared" si="21"/>
        <v/>
      </c>
      <c r="AC357" s="254" t="str">
        <f>IF(COUNTIF(AD$78:AD357,AD357)=1,MAX(AC$78:AC356)+1,"")</f>
        <v/>
      </c>
      <c r="AD357" s="215">
        <f>'[2]Изложницы без бурта'!B357</f>
        <v>177.5</v>
      </c>
      <c r="AE357" s="215">
        <f>'[2]Изложницы без бурта'!C357</f>
        <v>265</v>
      </c>
      <c r="AF357" s="56">
        <f>'[2]Изложницы без бурта'!D357</f>
        <v>285</v>
      </c>
      <c r="AG357" s="56">
        <f>'[2]Изложницы без бурта'!E357</f>
        <v>320</v>
      </c>
      <c r="AH357" s="56" t="str">
        <f>'[2]Изложницы без бурта'!F357</f>
        <v>72.11870 - 16</v>
      </c>
      <c r="AI357" s="56">
        <f>'[2]Изложницы без бурта'!G357</f>
        <v>0</v>
      </c>
      <c r="AJ357" s="56">
        <f>'[2]Изложницы без бурта'!H357</f>
        <v>0</v>
      </c>
      <c r="AK357" s="56">
        <f>'[2]Изложницы без бурта'!I357</f>
        <v>0</v>
      </c>
      <c r="AL357" s="56" t="s">
        <v>601</v>
      </c>
      <c r="AM357" s="56">
        <f>'[2]Изложницы без бурта'!K357</f>
        <v>0</v>
      </c>
    </row>
    <row r="358" spans="1:39" x14ac:dyDescent="0.25">
      <c r="A358" s="310"/>
      <c r="B358" s="1234"/>
      <c r="AB358" s="253" t="str">
        <f t="shared" si="21"/>
        <v/>
      </c>
      <c r="AC358" s="254" t="str">
        <f>IF(COUNTIF(AD$78:AD358,AD358)=1,MAX(AC$78:AC357)+1,"")</f>
        <v/>
      </c>
      <c r="AD358" s="215">
        <f>'[2]Изложницы без бурта'!B358</f>
        <v>177.5</v>
      </c>
      <c r="AE358" s="215">
        <f>'[2]Изложницы без бурта'!C358</f>
        <v>260</v>
      </c>
      <c r="AF358" s="56">
        <f>'[2]Изложницы без бурта'!D358</f>
        <v>285</v>
      </c>
      <c r="AG358" s="56">
        <f>'[2]Изложницы без бурта'!E358</f>
        <v>320</v>
      </c>
      <c r="AH358" s="56" t="str">
        <f>'[2]Изложницы без бурта'!F358</f>
        <v>72.11870 - 16</v>
      </c>
      <c r="AI358" s="56">
        <f>'[2]Изложницы без бурта'!G358</f>
        <v>0</v>
      </c>
      <c r="AJ358" s="56">
        <f>'[2]Изложницы без бурта'!H358</f>
        <v>0</v>
      </c>
      <c r="AK358" s="56">
        <f>'[2]Изложницы без бурта'!I358</f>
        <v>0</v>
      </c>
      <c r="AL358" s="56" t="s">
        <v>601</v>
      </c>
      <c r="AM358" s="56">
        <f>'[2]Изложницы без бурта'!K358</f>
        <v>0</v>
      </c>
    </row>
    <row r="359" spans="1:39" x14ac:dyDescent="0.25">
      <c r="A359" s="310"/>
      <c r="B359" s="1234"/>
      <c r="AB359" s="253" t="str">
        <f t="shared" si="21"/>
        <v/>
      </c>
      <c r="AC359" s="254" t="str">
        <f>IF(COUNTIF(AD$78:AD359,AD359)=1,MAX(AC$78:AC358)+1,"")</f>
        <v/>
      </c>
      <c r="AD359" s="215">
        <f>'[2]Изложницы без бурта'!B359</f>
        <v>177.5</v>
      </c>
      <c r="AE359" s="215">
        <f>'[2]Изложницы без бурта'!C359</f>
        <v>262</v>
      </c>
      <c r="AF359" s="56">
        <f>'[2]Изложницы без бурта'!D359</f>
        <v>285</v>
      </c>
      <c r="AG359" s="56">
        <f>'[2]Изложницы без бурта'!E359</f>
        <v>320</v>
      </c>
      <c r="AH359" s="56" t="str">
        <f>'[2]Изложницы без бурта'!F359</f>
        <v>72.11870 - 16</v>
      </c>
      <c r="AI359" s="56">
        <f>'[2]Изложницы без бурта'!G359</f>
        <v>0</v>
      </c>
      <c r="AJ359" s="56">
        <f>'[2]Изложницы без бурта'!H359</f>
        <v>0</v>
      </c>
      <c r="AK359" s="56">
        <f>'[2]Изложницы без бурта'!I359</f>
        <v>0</v>
      </c>
      <c r="AL359" s="56" t="s">
        <v>601</v>
      </c>
      <c r="AM359" s="56">
        <f>'[2]Изложницы без бурта'!K359</f>
        <v>0</v>
      </c>
    </row>
    <row r="360" spans="1:39" x14ac:dyDescent="0.25">
      <c r="A360" s="310"/>
      <c r="B360" s="1234"/>
      <c r="AB360" s="253" t="str">
        <f t="shared" si="21"/>
        <v/>
      </c>
      <c r="AC360" s="254" t="str">
        <f>IF(COUNTIF(AD$78:AD360,AD360)=1,MAX(AC$78:AC359)+1,"")</f>
        <v/>
      </c>
      <c r="AD360" s="215">
        <f>'[2]Изложницы без бурта'!B360</f>
        <v>177.5</v>
      </c>
      <c r="AE360" s="215">
        <f>'[2]Изложницы без бурта'!C360</f>
        <v>265</v>
      </c>
      <c r="AF360" s="56">
        <f>'[2]Изложницы без бурта'!D360</f>
        <v>285</v>
      </c>
      <c r="AG360" s="56">
        <f>'[2]Изложницы без бурта'!E360</f>
        <v>320</v>
      </c>
      <c r="AH360" s="56" t="str">
        <f>'[2]Изложницы без бурта'!F360</f>
        <v>72.11870 - 16</v>
      </c>
      <c r="AI360" s="56">
        <f>'[2]Изложницы без бурта'!G360</f>
        <v>0</v>
      </c>
      <c r="AJ360" s="56">
        <f>'[2]Изложницы без бурта'!H360</f>
        <v>0</v>
      </c>
      <c r="AK360" s="56">
        <f>'[2]Изложницы без бурта'!I360</f>
        <v>0</v>
      </c>
      <c r="AL360" s="56" t="s">
        <v>601</v>
      </c>
      <c r="AM360" s="56">
        <f>'[2]Изложницы без бурта'!K360</f>
        <v>0</v>
      </c>
    </row>
    <row r="361" spans="1:39" x14ac:dyDescent="0.25">
      <c r="A361" s="310"/>
      <c r="B361" s="1234"/>
      <c r="AB361" s="253" t="str">
        <f t="shared" si="21"/>
        <v/>
      </c>
      <c r="AC361" s="254" t="str">
        <f>IF(COUNTIF(AD$78:AD361,AD361)=1,MAX(AC$78:AC360)+1,"")</f>
        <v/>
      </c>
      <c r="AD361" s="215">
        <f>'[2]Изложницы без бурта'!B361</f>
        <v>177.5</v>
      </c>
      <c r="AE361" s="215">
        <f>'[2]Изложницы без бурта'!C361</f>
        <v>263</v>
      </c>
      <c r="AF361" s="56">
        <f>'[2]Изложницы без бурта'!D361</f>
        <v>285</v>
      </c>
      <c r="AG361" s="56">
        <f>'[2]Изложницы без бурта'!E361</f>
        <v>320</v>
      </c>
      <c r="AH361" s="56" t="str">
        <f>'[2]Изложницы без бурта'!F361</f>
        <v>72.11870 - 16</v>
      </c>
      <c r="AI361" s="56">
        <f>'[2]Изложницы без бурта'!G361</f>
        <v>0</v>
      </c>
      <c r="AJ361" s="56">
        <f>'[2]Изложницы без бурта'!H361</f>
        <v>0</v>
      </c>
      <c r="AK361" s="56">
        <f>'[2]Изложницы без бурта'!I361</f>
        <v>0</v>
      </c>
      <c r="AL361" s="56" t="s">
        <v>601</v>
      </c>
      <c r="AM361" s="56">
        <f>'[2]Изложницы без бурта'!K361</f>
        <v>0</v>
      </c>
    </row>
    <row r="362" spans="1:39" x14ac:dyDescent="0.25">
      <c r="A362" s="310"/>
      <c r="B362" s="1234"/>
      <c r="AB362" s="253" t="str">
        <f t="shared" si="21"/>
        <v/>
      </c>
      <c r="AC362" s="254" t="str">
        <f>IF(COUNTIF(AD$78:AD362,AD362)=1,MAX(AC$78:AC361)+1,"")</f>
        <v/>
      </c>
      <c r="AD362" s="215">
        <f>'[2]Изложницы без бурта'!B362</f>
        <v>177.5</v>
      </c>
      <c r="AE362" s="215">
        <f>'[2]Изложницы без бурта'!C362</f>
        <v>263</v>
      </c>
      <c r="AF362" s="56">
        <f>'[2]Изложницы без бурта'!D362</f>
        <v>285</v>
      </c>
      <c r="AG362" s="56">
        <f>'[2]Изложницы без бурта'!E362</f>
        <v>320</v>
      </c>
      <c r="AH362" s="56" t="str">
        <f>'[2]Изложницы без бурта'!F362</f>
        <v>72.11870 - 16</v>
      </c>
      <c r="AI362" s="56">
        <f>'[2]Изложницы без бурта'!G362</f>
        <v>0</v>
      </c>
      <c r="AJ362" s="56">
        <f>'[2]Изложницы без бурта'!H362</f>
        <v>0</v>
      </c>
      <c r="AK362" s="56">
        <f>'[2]Изложницы без бурта'!I362</f>
        <v>0</v>
      </c>
      <c r="AL362" s="56" t="s">
        <v>601</v>
      </c>
      <c r="AM362" s="56">
        <f>'[2]Изложницы без бурта'!K362</f>
        <v>0</v>
      </c>
    </row>
    <row r="363" spans="1:39" x14ac:dyDescent="0.25">
      <c r="A363" s="310"/>
      <c r="B363" s="1234"/>
      <c r="AB363" s="253" t="str">
        <f t="shared" si="21"/>
        <v/>
      </c>
      <c r="AC363" s="254">
        <f>IF(COUNTIF(AD$78:AD363,AD363)=1,MAX(AC$78:AC362)+1,"")</f>
        <v>37</v>
      </c>
      <c r="AD363" s="215">
        <f>'[2]Изложницы без бурта'!B363</f>
        <v>180</v>
      </c>
      <c r="AE363" s="215">
        <f>'[2]Изложницы без бурта'!C363</f>
        <v>265</v>
      </c>
      <c r="AF363" s="56">
        <f>'[2]Изложницы без бурта'!D363</f>
        <v>285</v>
      </c>
      <c r="AG363" s="56">
        <f>'[2]Изложницы без бурта'!E363</f>
        <v>320</v>
      </c>
      <c r="AH363" s="56" t="str">
        <f>'[2]Изложницы без бурта'!F363</f>
        <v>72.11870 - 17</v>
      </c>
      <c r="AI363" s="56">
        <f>'[2]Изложницы без бурта'!G363</f>
        <v>0</v>
      </c>
      <c r="AJ363" s="56">
        <f>'[2]Изложницы без бурта'!H363</f>
        <v>0</v>
      </c>
      <c r="AK363" s="56">
        <f>'[2]Изложницы без бурта'!I363</f>
        <v>0</v>
      </c>
      <c r="AL363" s="56" t="s">
        <v>602</v>
      </c>
      <c r="AM363" s="56">
        <f>'[2]Изложницы без бурта'!K363</f>
        <v>0</v>
      </c>
    </row>
    <row r="364" spans="1:39" x14ac:dyDescent="0.25">
      <c r="A364" s="310"/>
      <c r="B364" s="1234"/>
      <c r="AB364" s="253" t="str">
        <f t="shared" si="21"/>
        <v/>
      </c>
      <c r="AC364" s="254" t="str">
        <f>IF(COUNTIF(AD$78:AD364,AD364)=1,MAX(AC$78:AC363)+1,"")</f>
        <v/>
      </c>
      <c r="AD364" s="215">
        <f>'[2]Изложницы без бурта'!B364</f>
        <v>180</v>
      </c>
      <c r="AE364" s="215">
        <f>'[2]Изложницы без бурта'!C364</f>
        <v>265</v>
      </c>
      <c r="AF364" s="56">
        <f>'[2]Изложницы без бурта'!D364</f>
        <v>285</v>
      </c>
      <c r="AG364" s="56">
        <f>'[2]Изложницы без бурта'!E364</f>
        <v>320</v>
      </c>
      <c r="AH364" s="56" t="str">
        <f>'[2]Изложницы без бурта'!F364</f>
        <v>72.11870 - 17</v>
      </c>
      <c r="AI364" s="56">
        <f>'[2]Изложницы без бурта'!G364</f>
        <v>0</v>
      </c>
      <c r="AJ364" s="56">
        <f>'[2]Изложницы без бурта'!H364</f>
        <v>0</v>
      </c>
      <c r="AK364" s="56">
        <f>'[2]Изложницы без бурта'!I364</f>
        <v>0</v>
      </c>
      <c r="AL364" s="56" t="s">
        <v>602</v>
      </c>
      <c r="AM364" s="56">
        <f>'[2]Изложницы без бурта'!K364</f>
        <v>0</v>
      </c>
    </row>
    <row r="365" spans="1:39" x14ac:dyDescent="0.25">
      <c r="A365" s="310"/>
      <c r="B365" s="1234"/>
      <c r="AB365" s="253" t="str">
        <f t="shared" si="21"/>
        <v/>
      </c>
      <c r="AC365" s="254" t="str">
        <f>IF(COUNTIF(AD$78:AD365,AD365)=1,MAX(AC$78:AC364)+1,"")</f>
        <v/>
      </c>
      <c r="AD365" s="215">
        <f>'[2]Изложницы без бурта'!B365</f>
        <v>180</v>
      </c>
      <c r="AE365" s="215">
        <f>'[2]Изложницы без бурта'!C365</f>
        <v>260</v>
      </c>
      <c r="AF365" s="56">
        <f>'[2]Изложницы без бурта'!D365</f>
        <v>285</v>
      </c>
      <c r="AG365" s="56">
        <f>'[2]Изложницы без бурта'!E365</f>
        <v>320</v>
      </c>
      <c r="AH365" s="56" t="str">
        <f>'[2]Изложницы без бурта'!F365</f>
        <v>72.11870 - 17</v>
      </c>
      <c r="AI365" s="56">
        <f>'[2]Изложницы без бурта'!G365</f>
        <v>0</v>
      </c>
      <c r="AJ365" s="56">
        <f>'[2]Изложницы без бурта'!H365</f>
        <v>0</v>
      </c>
      <c r="AK365" s="56">
        <f>'[2]Изложницы без бурта'!I365</f>
        <v>0</v>
      </c>
      <c r="AL365" s="56" t="s">
        <v>602</v>
      </c>
      <c r="AM365" s="56">
        <f>'[2]Изложницы без бурта'!K365</f>
        <v>0</v>
      </c>
    </row>
    <row r="366" spans="1:39" x14ac:dyDescent="0.25">
      <c r="A366" s="310"/>
      <c r="B366" s="1234"/>
      <c r="AB366" s="253" t="str">
        <f t="shared" si="21"/>
        <v/>
      </c>
      <c r="AC366" s="254" t="str">
        <f>IF(COUNTIF(AD$78:AD366,AD366)=1,MAX(AC$78:AC365)+1,"")</f>
        <v/>
      </c>
      <c r="AD366" s="215">
        <f>'[2]Изложницы без бурта'!B366</f>
        <v>180</v>
      </c>
      <c r="AE366" s="215">
        <f>'[2]Изложницы без бурта'!C366</f>
        <v>260</v>
      </c>
      <c r="AF366" s="56">
        <f>'[2]Изложницы без бурта'!D366</f>
        <v>285</v>
      </c>
      <c r="AG366" s="56">
        <f>'[2]Изложницы без бурта'!E366</f>
        <v>320</v>
      </c>
      <c r="AH366" s="56" t="str">
        <f>'[2]Изложницы без бурта'!F366</f>
        <v>72.11870 - 17</v>
      </c>
      <c r="AI366" s="56">
        <f>'[2]Изложницы без бурта'!G366</f>
        <v>0</v>
      </c>
      <c r="AJ366" s="56">
        <f>'[2]Изложницы без бурта'!H366</f>
        <v>0</v>
      </c>
      <c r="AK366" s="56">
        <f>'[2]Изложницы без бурта'!I366</f>
        <v>0</v>
      </c>
      <c r="AL366" s="56" t="s">
        <v>602</v>
      </c>
      <c r="AM366" s="56">
        <f>'[2]Изложницы без бурта'!K366</f>
        <v>0</v>
      </c>
    </row>
    <row r="367" spans="1:39" x14ac:dyDescent="0.25">
      <c r="A367" s="310"/>
      <c r="B367" s="1234"/>
      <c r="AB367" s="253" t="str">
        <f t="shared" si="21"/>
        <v/>
      </c>
      <c r="AC367" s="254" t="str">
        <f>IF(COUNTIF(AD$78:AD367,AD367)=1,MAX(AC$78:AC366)+1,"")</f>
        <v/>
      </c>
      <c r="AD367" s="215">
        <f>'[2]Изложницы без бурта'!B367</f>
        <v>180</v>
      </c>
      <c r="AE367" s="215">
        <f>'[2]Изложницы без бурта'!C367</f>
        <v>317</v>
      </c>
      <c r="AF367" s="56">
        <f>'[2]Изложницы без бурта'!D367</f>
        <v>285</v>
      </c>
      <c r="AG367" s="56">
        <f>'[2]Изложницы без бурта'!E367</f>
        <v>320</v>
      </c>
      <c r="AH367" s="56" t="str">
        <f>'[2]Изложницы без бурта'!F367</f>
        <v>72.11871 - 17</v>
      </c>
      <c r="AI367" s="56">
        <f>'[2]Изложницы без бурта'!G367</f>
        <v>0</v>
      </c>
      <c r="AJ367" s="56">
        <f>'[2]Изложницы без бурта'!H367</f>
        <v>0</v>
      </c>
      <c r="AK367" s="56">
        <f>'[2]Изложницы без бурта'!I367</f>
        <v>0</v>
      </c>
      <c r="AL367" s="56" t="s">
        <v>602</v>
      </c>
      <c r="AM367" s="56">
        <f>'[2]Изложницы без бурта'!K367</f>
        <v>0</v>
      </c>
    </row>
    <row r="368" spans="1:39" x14ac:dyDescent="0.25">
      <c r="A368" s="310"/>
      <c r="B368" s="1234"/>
      <c r="AB368" s="253" t="str">
        <f t="shared" si="21"/>
        <v/>
      </c>
      <c r="AC368" s="254" t="str">
        <f>IF(COUNTIF(AD$78:AD368,AD368)=1,MAX(AC$78:AC367)+1,"")</f>
        <v/>
      </c>
      <c r="AD368" s="215">
        <f>'[2]Изложницы без бурта'!B368</f>
        <v>180</v>
      </c>
      <c r="AE368" s="215">
        <f>'[2]Изложницы без бурта'!C368</f>
        <v>380</v>
      </c>
      <c r="AF368" s="56">
        <f>'[2]Изложницы без бурта'!D368</f>
        <v>285</v>
      </c>
      <c r="AG368" s="56">
        <f>'[2]Изложницы без бурта'!E368</f>
        <v>320</v>
      </c>
      <c r="AH368" s="56" t="str">
        <f>'[2]Изложницы без бурта'!F368</f>
        <v>72.42461 - 17</v>
      </c>
      <c r="AI368" s="56">
        <f>'[2]Изложницы без бурта'!G368</f>
        <v>0</v>
      </c>
      <c r="AJ368" s="56">
        <f>'[2]Изложницы без бурта'!H368</f>
        <v>0</v>
      </c>
      <c r="AK368" s="56">
        <f>'[2]Изложницы без бурта'!I368</f>
        <v>0</v>
      </c>
      <c r="AL368" s="56" t="s">
        <v>602</v>
      </c>
      <c r="AM368" s="56">
        <f>'[2]Изложницы без бурта'!K368</f>
        <v>0</v>
      </c>
    </row>
    <row r="369" spans="1:39" x14ac:dyDescent="0.25">
      <c r="A369" s="310"/>
      <c r="B369" s="1234"/>
      <c r="AB369" s="253" t="str">
        <f t="shared" si="21"/>
        <v/>
      </c>
      <c r="AC369" s="254" t="str">
        <f>IF(COUNTIF(AD$78:AD369,AD369)=1,MAX(AC$78:AC368)+1,"")</f>
        <v/>
      </c>
      <c r="AD369" s="215">
        <f>'[2]Изложницы без бурта'!B369</f>
        <v>180</v>
      </c>
      <c r="AE369" s="215">
        <f>'[2]Изложницы без бурта'!C369</f>
        <v>315</v>
      </c>
      <c r="AF369" s="56">
        <f>'[2]Изложницы без бурта'!D369</f>
        <v>285</v>
      </c>
      <c r="AG369" s="56">
        <f>'[2]Изложницы без бурта'!E369</f>
        <v>320</v>
      </c>
      <c r="AH369" s="56" t="str">
        <f>'[2]Изложницы без бурта'!F369</f>
        <v>72.11871 - 17</v>
      </c>
      <c r="AI369" s="56">
        <f>'[2]Изложницы без бурта'!G369</f>
        <v>0</v>
      </c>
      <c r="AJ369" s="56">
        <f>'[2]Изложницы без бурта'!H369</f>
        <v>0</v>
      </c>
      <c r="AK369" s="56">
        <f>'[2]Изложницы без бурта'!I369</f>
        <v>0</v>
      </c>
      <c r="AL369" s="56" t="s">
        <v>602</v>
      </c>
      <c r="AM369" s="56">
        <f>'[2]Изложницы без бурта'!K369</f>
        <v>0</v>
      </c>
    </row>
    <row r="370" spans="1:39" x14ac:dyDescent="0.25">
      <c r="A370" s="310"/>
      <c r="B370" s="1234"/>
      <c r="AB370" s="253" t="str">
        <f t="shared" si="21"/>
        <v/>
      </c>
      <c r="AC370" s="254" t="str">
        <f>IF(COUNTIF(AD$78:AD370,AD370)=1,MAX(AC$78:AC369)+1,"")</f>
        <v/>
      </c>
      <c r="AD370" s="215">
        <f>'[2]Изложницы без бурта'!B370</f>
        <v>180</v>
      </c>
      <c r="AE370" s="215">
        <f>'[2]Изложницы без бурта'!C370</f>
        <v>265</v>
      </c>
      <c r="AF370" s="56">
        <f>'[2]Изложницы без бурта'!D370</f>
        <v>285</v>
      </c>
      <c r="AG370" s="56">
        <f>'[2]Изложницы без бурта'!E370</f>
        <v>320</v>
      </c>
      <c r="AH370" s="56" t="str">
        <f>'[2]Изложницы без бурта'!F370</f>
        <v>72.11870 - 17</v>
      </c>
      <c r="AI370" s="56">
        <f>'[2]Изложницы без бурта'!G370</f>
        <v>0</v>
      </c>
      <c r="AJ370" s="56">
        <f>'[2]Изложницы без бурта'!H370</f>
        <v>0</v>
      </c>
      <c r="AK370" s="56">
        <f>'[2]Изложницы без бурта'!I370</f>
        <v>0</v>
      </c>
      <c r="AL370" s="56" t="s">
        <v>602</v>
      </c>
      <c r="AM370" s="56">
        <f>'[2]Изложницы без бурта'!K370</f>
        <v>0</v>
      </c>
    </row>
    <row r="371" spans="1:39" x14ac:dyDescent="0.25">
      <c r="A371" s="310"/>
      <c r="B371" s="1234"/>
      <c r="AB371" s="253" t="str">
        <f t="shared" si="21"/>
        <v/>
      </c>
      <c r="AC371" s="254" t="str">
        <f>IF(COUNTIF(AD$78:AD371,AD371)=1,MAX(AC$78:AC370)+1,"")</f>
        <v/>
      </c>
      <c r="AD371" s="215">
        <f>'[2]Изложницы без бурта'!B371</f>
        <v>180</v>
      </c>
      <c r="AE371" s="215">
        <f>'[2]Изложницы без бурта'!C371</f>
        <v>380</v>
      </c>
      <c r="AF371" s="56">
        <f>'[2]Изложницы без бурта'!D371</f>
        <v>285</v>
      </c>
      <c r="AG371" s="56">
        <f>'[2]Изложницы без бурта'!E371</f>
        <v>320</v>
      </c>
      <c r="AH371" s="56" t="str">
        <f>'[2]Изложницы без бурта'!F371</f>
        <v>72.42461 - 17</v>
      </c>
      <c r="AI371" s="56">
        <f>'[2]Изложницы без бурта'!G371</f>
        <v>0</v>
      </c>
      <c r="AJ371" s="56">
        <f>'[2]Изложницы без бурта'!H371</f>
        <v>0</v>
      </c>
      <c r="AK371" s="56">
        <f>'[2]Изложницы без бурта'!I371</f>
        <v>0</v>
      </c>
      <c r="AL371" s="56" t="s">
        <v>602</v>
      </c>
      <c r="AM371" s="56">
        <f>'[2]Изложницы без бурта'!K371</f>
        <v>0</v>
      </c>
    </row>
    <row r="372" spans="1:39" x14ac:dyDescent="0.25">
      <c r="A372" s="310"/>
      <c r="B372" s="1234"/>
      <c r="AB372" s="253" t="str">
        <f t="shared" si="21"/>
        <v/>
      </c>
      <c r="AC372" s="254" t="str">
        <f>IF(COUNTIF(AD$78:AD372,AD372)=1,MAX(AC$78:AC371)+1,"")</f>
        <v/>
      </c>
      <c r="AD372" s="215">
        <f>'[2]Изложницы без бурта'!B372</f>
        <v>180</v>
      </c>
      <c r="AE372" s="215">
        <f>'[2]Изложницы без бурта'!C372</f>
        <v>265</v>
      </c>
      <c r="AF372" s="56">
        <f>'[2]Изложницы без бурта'!D372</f>
        <v>285</v>
      </c>
      <c r="AG372" s="56">
        <f>'[2]Изложницы без бурта'!E372</f>
        <v>320</v>
      </c>
      <c r="AH372" s="56" t="str">
        <f>'[2]Изложницы без бурта'!F372</f>
        <v>72.11870 - 17</v>
      </c>
      <c r="AI372" s="56">
        <f>'[2]Изложницы без бурта'!G372</f>
        <v>0</v>
      </c>
      <c r="AJ372" s="56">
        <f>'[2]Изложницы без бурта'!H372</f>
        <v>0</v>
      </c>
      <c r="AK372" s="56">
        <f>'[2]Изложницы без бурта'!I372</f>
        <v>0</v>
      </c>
      <c r="AL372" s="56" t="s">
        <v>602</v>
      </c>
      <c r="AM372" s="56">
        <f>'[2]Изложницы без бурта'!K372</f>
        <v>0</v>
      </c>
    </row>
    <row r="373" spans="1:39" x14ac:dyDescent="0.25">
      <c r="A373" s="310"/>
      <c r="B373" s="1234"/>
      <c r="AB373" s="253" t="str">
        <f t="shared" si="21"/>
        <v/>
      </c>
      <c r="AC373" s="254" t="str">
        <f>IF(COUNTIF(AD$78:AD373,AD373)=1,MAX(AC$78:AC372)+1,"")</f>
        <v/>
      </c>
      <c r="AD373" s="215">
        <f>'[2]Изложницы без бурта'!B373</f>
        <v>180</v>
      </c>
      <c r="AE373" s="215">
        <f>'[2]Изложницы без бурта'!C373</f>
        <v>265</v>
      </c>
      <c r="AF373" s="56">
        <f>'[2]Изложницы без бурта'!D373</f>
        <v>285</v>
      </c>
      <c r="AG373" s="56">
        <f>'[2]Изложницы без бурта'!E373</f>
        <v>320</v>
      </c>
      <c r="AH373" s="56" t="str">
        <f>'[2]Изложницы без бурта'!F373</f>
        <v>72.11870 - 17</v>
      </c>
      <c r="AI373" s="56">
        <f>'[2]Изложницы без бурта'!G373</f>
        <v>0</v>
      </c>
      <c r="AJ373" s="56">
        <f>'[2]Изложницы без бурта'!H373</f>
        <v>0</v>
      </c>
      <c r="AK373" s="56">
        <f>'[2]Изложницы без бурта'!I373</f>
        <v>0</v>
      </c>
      <c r="AL373" s="56" t="s">
        <v>602</v>
      </c>
      <c r="AM373" s="56">
        <f>'[2]Изложницы без бурта'!K373</f>
        <v>0</v>
      </c>
    </row>
    <row r="374" spans="1:39" x14ac:dyDescent="0.25">
      <c r="A374" s="310"/>
      <c r="B374" s="1234"/>
      <c r="AB374" s="253" t="str">
        <f t="shared" si="21"/>
        <v/>
      </c>
      <c r="AC374" s="254" t="str">
        <f>IF(COUNTIF(AD$78:AD374,AD374)=1,MAX(AC$78:AC373)+1,"")</f>
        <v/>
      </c>
      <c r="AD374" s="215">
        <f>'[2]Изложницы без бурта'!B374</f>
        <v>180</v>
      </c>
      <c r="AE374" s="215">
        <f>'[2]Изложницы без бурта'!C374</f>
        <v>500</v>
      </c>
      <c r="AF374" s="56">
        <f>'[2]Изложницы без бурта'!D374</f>
        <v>285</v>
      </c>
      <c r="AG374" s="56">
        <f>'[2]Изложницы без бурта'!E374</f>
        <v>320</v>
      </c>
      <c r="AH374" s="56" t="str">
        <f>'[2]Изложницы без бурта'!F374</f>
        <v>72.23398 - 01</v>
      </c>
      <c r="AI374" s="56">
        <f>'[2]Изложницы без бурта'!G374</f>
        <v>0</v>
      </c>
      <c r="AJ374" s="56">
        <f>'[2]Изложницы без бурта'!H374</f>
        <v>0</v>
      </c>
      <c r="AK374" s="56">
        <f>'[2]Изложницы без бурта'!I374</f>
        <v>0</v>
      </c>
      <c r="AL374" s="56" t="s">
        <v>602</v>
      </c>
      <c r="AM374" s="56">
        <f>'[2]Изложницы без бурта'!K374</f>
        <v>0</v>
      </c>
    </row>
    <row r="375" spans="1:39" x14ac:dyDescent="0.25">
      <c r="A375" s="310"/>
      <c r="B375" s="1234"/>
      <c r="AB375" s="253" t="str">
        <f t="shared" si="21"/>
        <v/>
      </c>
      <c r="AC375" s="254">
        <f>IF(COUNTIF(AD$78:AD375,AD375)=1,MAX(AC$78:AC374)+1,"")</f>
        <v>38</v>
      </c>
      <c r="AD375" s="215">
        <f>'[2]Изложницы без бурта'!B375</f>
        <v>182.5</v>
      </c>
      <c r="AE375" s="215">
        <f>'[2]Изложницы без бурта'!C375</f>
        <v>262</v>
      </c>
      <c r="AF375" s="56">
        <f>'[2]Изложницы без бурта'!D375</f>
        <v>285</v>
      </c>
      <c r="AG375" s="56">
        <f>'[2]Изложницы без бурта'!E375</f>
        <v>320</v>
      </c>
      <c r="AH375" s="56" t="str">
        <f>'[2]Изложницы без бурта'!F375</f>
        <v>72.11870 - 18</v>
      </c>
      <c r="AI375" s="56">
        <f>'[2]Изложницы без бурта'!G375</f>
        <v>0</v>
      </c>
      <c r="AJ375" s="56">
        <f>'[2]Изложницы без бурта'!H375</f>
        <v>0</v>
      </c>
      <c r="AK375" s="56">
        <f>'[2]Изложницы без бурта'!I375</f>
        <v>0</v>
      </c>
      <c r="AL375" s="56" t="s">
        <v>603</v>
      </c>
      <c r="AM375" s="56">
        <f>'[2]Изложницы без бурта'!K375</f>
        <v>0</v>
      </c>
    </row>
    <row r="376" spans="1:39" x14ac:dyDescent="0.25">
      <c r="A376" s="310"/>
      <c r="B376" s="1234"/>
      <c r="AB376" s="253" t="str">
        <f t="shared" si="21"/>
        <v/>
      </c>
      <c r="AC376" s="254" t="str">
        <f>IF(COUNTIF(AD$78:AD376,AD376)=1,MAX(AC$78:AC375)+1,"")</f>
        <v/>
      </c>
      <c r="AD376" s="215">
        <f>'[2]Изложницы без бурта'!B376</f>
        <v>182.5</v>
      </c>
      <c r="AE376" s="215">
        <f>'[2]Изложницы без бурта'!C376</f>
        <v>265</v>
      </c>
      <c r="AF376" s="56">
        <f>'[2]Изложницы без бурта'!D376</f>
        <v>285</v>
      </c>
      <c r="AG376" s="56">
        <f>'[2]Изложницы без бурта'!E376</f>
        <v>320</v>
      </c>
      <c r="AH376" s="56" t="str">
        <f>'[2]Изложницы без бурта'!F376</f>
        <v>72.11870 - 18</v>
      </c>
      <c r="AI376" s="56">
        <f>'[2]Изложницы без бурта'!G376</f>
        <v>0</v>
      </c>
      <c r="AJ376" s="56">
        <f>'[2]Изложницы без бурта'!H376</f>
        <v>0</v>
      </c>
      <c r="AK376" s="56">
        <f>'[2]Изложницы без бурта'!I376</f>
        <v>0</v>
      </c>
      <c r="AL376" s="56" t="s">
        <v>603</v>
      </c>
      <c r="AM376" s="56">
        <f>'[2]Изложницы без бурта'!K376</f>
        <v>0</v>
      </c>
    </row>
    <row r="377" spans="1:39" x14ac:dyDescent="0.25">
      <c r="A377" s="310"/>
      <c r="B377" s="1234"/>
      <c r="AB377" s="253" t="str">
        <f t="shared" ref="AB377:AB440" si="22">IF(MAX(AC377:AC1454)&lt;ROW(299:299),"",VLOOKUP(ROW(299:299),AC377:AD1454,2))</f>
        <v/>
      </c>
      <c r="AC377" s="254" t="str">
        <f>IF(COUNTIF(AD$78:AD377,AD377)=1,MAX(AC$78:AC376)+1,"")</f>
        <v/>
      </c>
      <c r="AD377" s="215">
        <f>'[2]Изложницы без бурта'!B377</f>
        <v>182.5</v>
      </c>
      <c r="AE377" s="215">
        <f>'[2]Изложницы без бурта'!C377</f>
        <v>265</v>
      </c>
      <c r="AF377" s="56">
        <f>'[2]Изложницы без бурта'!D377</f>
        <v>285</v>
      </c>
      <c r="AG377" s="56">
        <f>'[2]Изложницы без бурта'!E377</f>
        <v>320</v>
      </c>
      <c r="AH377" s="56" t="str">
        <f>'[2]Изложницы без бурта'!F377</f>
        <v>72.11870 - 18</v>
      </c>
      <c r="AI377" s="56">
        <f>'[2]Изложницы без бурта'!G377</f>
        <v>0</v>
      </c>
      <c r="AJ377" s="56">
        <f>'[2]Изложницы без бурта'!H377</f>
        <v>0</v>
      </c>
      <c r="AK377" s="56">
        <f>'[2]Изложницы без бурта'!I377</f>
        <v>0</v>
      </c>
      <c r="AL377" s="56" t="s">
        <v>603</v>
      </c>
      <c r="AM377" s="56">
        <f>'[2]Изложницы без бурта'!K377</f>
        <v>0</v>
      </c>
    </row>
    <row r="378" spans="1:39" x14ac:dyDescent="0.25">
      <c r="A378" s="310"/>
      <c r="B378" s="1234"/>
      <c r="AB378" s="253" t="str">
        <f t="shared" si="22"/>
        <v/>
      </c>
      <c r="AC378" s="254" t="str">
        <f>IF(COUNTIF(AD$78:AD378,AD378)=1,MAX(AC$78:AC377)+1,"")</f>
        <v/>
      </c>
      <c r="AD378" s="215">
        <f>'[2]Изложницы без бурта'!B378</f>
        <v>182.5</v>
      </c>
      <c r="AE378" s="215">
        <f>'[2]Изложницы без бурта'!C378</f>
        <v>265</v>
      </c>
      <c r="AF378" s="56">
        <f>'[2]Изложницы без бурта'!D378</f>
        <v>285</v>
      </c>
      <c r="AG378" s="56">
        <f>'[2]Изложницы без бурта'!E378</f>
        <v>320</v>
      </c>
      <c r="AH378" s="56" t="str">
        <f>'[2]Изложницы без бурта'!F378</f>
        <v>72.11870 - 18</v>
      </c>
      <c r="AI378" s="56">
        <f>'[2]Изложницы без бурта'!G378</f>
        <v>0</v>
      </c>
      <c r="AJ378" s="56">
        <f>'[2]Изложницы без бурта'!H378</f>
        <v>0</v>
      </c>
      <c r="AK378" s="56">
        <f>'[2]Изложницы без бурта'!I378</f>
        <v>0</v>
      </c>
      <c r="AL378" s="56" t="s">
        <v>603</v>
      </c>
      <c r="AM378" s="56">
        <f>'[2]Изложницы без бурта'!K378</f>
        <v>0</v>
      </c>
    </row>
    <row r="379" spans="1:39" x14ac:dyDescent="0.25">
      <c r="A379" s="310"/>
      <c r="B379" s="1234"/>
      <c r="AB379" s="253" t="str">
        <f t="shared" si="22"/>
        <v/>
      </c>
      <c r="AC379" s="254" t="str">
        <f>IF(COUNTIF(AD$78:AD379,AD379)=1,MAX(AC$78:AC378)+1,"")</f>
        <v/>
      </c>
      <c r="AD379" s="215">
        <f>'[2]Изложницы без бурта'!B379</f>
        <v>182.5</v>
      </c>
      <c r="AE379" s="215">
        <f>'[2]Изложницы без бурта'!C379</f>
        <v>265</v>
      </c>
      <c r="AF379" s="56">
        <f>'[2]Изложницы без бурта'!D379</f>
        <v>285</v>
      </c>
      <c r="AG379" s="56">
        <f>'[2]Изложницы без бурта'!E379</f>
        <v>320</v>
      </c>
      <c r="AH379" s="56" t="str">
        <f>'[2]Изложницы без бурта'!F379</f>
        <v>72.11870 - 18</v>
      </c>
      <c r="AI379" s="56">
        <f>'[2]Изложницы без бурта'!G379</f>
        <v>0</v>
      </c>
      <c r="AJ379" s="56">
        <f>'[2]Изложницы без бурта'!H379</f>
        <v>0</v>
      </c>
      <c r="AK379" s="56">
        <f>'[2]Изложницы без бурта'!I379</f>
        <v>0</v>
      </c>
      <c r="AL379" s="56" t="s">
        <v>603</v>
      </c>
      <c r="AM379" s="56">
        <f>'[2]Изложницы без бурта'!K379</f>
        <v>0</v>
      </c>
    </row>
    <row r="380" spans="1:39" x14ac:dyDescent="0.25">
      <c r="A380" s="310"/>
      <c r="B380" s="1234"/>
      <c r="AB380" s="253" t="str">
        <f t="shared" si="22"/>
        <v/>
      </c>
      <c r="AC380" s="254" t="str">
        <f>IF(COUNTIF(AD$78:AD380,AD380)=1,MAX(AC$78:AC379)+1,"")</f>
        <v/>
      </c>
      <c r="AD380" s="215">
        <f>'[2]Изложницы без бурта'!B380</f>
        <v>182.5</v>
      </c>
      <c r="AE380" s="215">
        <f>'[2]Изложницы без бурта'!C380</f>
        <v>255</v>
      </c>
      <c r="AF380" s="56">
        <f>'[2]Изложницы без бурта'!D380</f>
        <v>285</v>
      </c>
      <c r="AG380" s="56">
        <f>'[2]Изложницы без бурта'!E380</f>
        <v>320</v>
      </c>
      <c r="AH380" s="56" t="str">
        <f>'[2]Изложницы без бурта'!F380</f>
        <v>72.11870 - 18</v>
      </c>
      <c r="AI380" s="56">
        <f>'[2]Изложницы без бурта'!G380</f>
        <v>0</v>
      </c>
      <c r="AJ380" s="56">
        <f>'[2]Изложницы без бурта'!H380</f>
        <v>0</v>
      </c>
      <c r="AK380" s="56">
        <f>'[2]Изложницы без бурта'!I380</f>
        <v>0</v>
      </c>
      <c r="AL380" s="56" t="s">
        <v>603</v>
      </c>
      <c r="AM380" s="56">
        <f>'[2]Изложницы без бурта'!K380</f>
        <v>0</v>
      </c>
    </row>
    <row r="381" spans="1:39" x14ac:dyDescent="0.25">
      <c r="A381" s="310"/>
      <c r="B381" s="1234"/>
      <c r="AB381" s="253" t="str">
        <f t="shared" si="22"/>
        <v/>
      </c>
      <c r="AC381" s="254">
        <f>IF(COUNTIF(AD$78:AD381,AD381)=1,MAX(AC$78:AC380)+1,"")</f>
        <v>39</v>
      </c>
      <c r="AD381" s="215">
        <f>'[2]Изложницы без бурта'!B381</f>
        <v>185</v>
      </c>
      <c r="AE381" s="215">
        <f>'[2]Изложницы без бурта'!C381</f>
        <v>260</v>
      </c>
      <c r="AF381" s="56">
        <f>'[2]Изложницы без бурта'!D381</f>
        <v>285</v>
      </c>
      <c r="AG381" s="56">
        <f>'[2]Изложницы без бурта'!E381</f>
        <v>320</v>
      </c>
      <c r="AH381" s="56" t="str">
        <f>'[2]Изложницы без бурта'!F381</f>
        <v>72.11870 - 19</v>
      </c>
      <c r="AI381" s="56">
        <f>'[2]Изложницы без бурта'!G381</f>
        <v>0</v>
      </c>
      <c r="AJ381" s="56">
        <f>'[2]Изложницы без бурта'!H381</f>
        <v>0</v>
      </c>
      <c r="AK381" s="56">
        <f>'[2]Изложницы без бурта'!I381</f>
        <v>0</v>
      </c>
      <c r="AL381" s="56" t="s">
        <v>604</v>
      </c>
      <c r="AM381" s="56">
        <f>'[2]Изложницы без бурта'!K381</f>
        <v>0</v>
      </c>
    </row>
    <row r="382" spans="1:39" x14ac:dyDescent="0.25">
      <c r="A382" s="310"/>
      <c r="B382" s="1234"/>
      <c r="AB382" s="253" t="str">
        <f t="shared" si="22"/>
        <v/>
      </c>
      <c r="AC382" s="254" t="str">
        <f>IF(COUNTIF(AD$78:AD382,AD382)=1,MAX(AC$78:AC381)+1,"")</f>
        <v/>
      </c>
      <c r="AD382" s="215">
        <f>'[2]Изложницы без бурта'!B382</f>
        <v>185</v>
      </c>
      <c r="AE382" s="215">
        <f>'[2]Изложницы без бурта'!C382</f>
        <v>265</v>
      </c>
      <c r="AF382" s="56">
        <f>'[2]Изложницы без бурта'!D382</f>
        <v>285</v>
      </c>
      <c r="AG382" s="56">
        <f>'[2]Изложницы без бурта'!E382</f>
        <v>320</v>
      </c>
      <c r="AH382" s="56" t="str">
        <f>'[2]Изложницы без бурта'!F382</f>
        <v>72.11870 - 19</v>
      </c>
      <c r="AI382" s="56">
        <f>'[2]Изложницы без бурта'!G382</f>
        <v>0</v>
      </c>
      <c r="AJ382" s="56">
        <f>'[2]Изложницы без бурта'!H382</f>
        <v>0</v>
      </c>
      <c r="AK382" s="56">
        <f>'[2]Изложницы без бурта'!I382</f>
        <v>0</v>
      </c>
      <c r="AL382" s="56" t="s">
        <v>604</v>
      </c>
      <c r="AM382" s="56">
        <f>'[2]Изложницы без бурта'!K382</f>
        <v>0</v>
      </c>
    </row>
    <row r="383" spans="1:39" x14ac:dyDescent="0.25">
      <c r="A383" s="310"/>
      <c r="B383" s="1234"/>
      <c r="AB383" s="253" t="str">
        <f t="shared" si="22"/>
        <v/>
      </c>
      <c r="AC383" s="254" t="str">
        <f>IF(COUNTIF(AD$78:AD383,AD383)=1,MAX(AC$78:AC382)+1,"")</f>
        <v/>
      </c>
      <c r="AD383" s="215">
        <f>'[2]Изложницы без бурта'!B383</f>
        <v>185</v>
      </c>
      <c r="AE383" s="215">
        <f>'[2]Изложницы без бурта'!C383</f>
        <v>265</v>
      </c>
      <c r="AF383" s="56">
        <f>'[2]Изложницы без бурта'!D383</f>
        <v>285</v>
      </c>
      <c r="AG383" s="56">
        <f>'[2]Изложницы без бурта'!E383</f>
        <v>320</v>
      </c>
      <c r="AH383" s="56" t="str">
        <f>'[2]Изложницы без бурта'!F383</f>
        <v>72.11870 - 19</v>
      </c>
      <c r="AI383" s="56">
        <f>'[2]Изложницы без бурта'!G383</f>
        <v>0</v>
      </c>
      <c r="AJ383" s="56">
        <f>'[2]Изложницы без бурта'!H383</f>
        <v>0</v>
      </c>
      <c r="AK383" s="56">
        <f>'[2]Изложницы без бурта'!I383</f>
        <v>0</v>
      </c>
      <c r="AL383" s="56" t="s">
        <v>604</v>
      </c>
      <c r="AM383" s="56">
        <f>'[2]Изложницы без бурта'!K383</f>
        <v>0</v>
      </c>
    </row>
    <row r="384" spans="1:39" x14ac:dyDescent="0.25">
      <c r="A384" s="310"/>
      <c r="B384" s="1234"/>
      <c r="AB384" s="253" t="str">
        <f t="shared" si="22"/>
        <v/>
      </c>
      <c r="AC384" s="254" t="str">
        <f>IF(COUNTIF(AD$78:AD384,AD384)=1,MAX(AC$78:AC383)+1,"")</f>
        <v/>
      </c>
      <c r="AD384" s="215">
        <f>'[2]Изложницы без бурта'!B384</f>
        <v>185</v>
      </c>
      <c r="AE384" s="215">
        <f>'[2]Изложницы без бурта'!C384</f>
        <v>265</v>
      </c>
      <c r="AF384" s="56">
        <f>'[2]Изложницы без бурта'!D384</f>
        <v>285</v>
      </c>
      <c r="AG384" s="56">
        <f>'[2]Изложницы без бурта'!E384</f>
        <v>320</v>
      </c>
      <c r="AH384" s="56" t="str">
        <f>'[2]Изложницы без бурта'!F384</f>
        <v>72.11870 - 19</v>
      </c>
      <c r="AI384" s="56">
        <f>'[2]Изложницы без бурта'!G384</f>
        <v>0</v>
      </c>
      <c r="AJ384" s="56">
        <f>'[2]Изложницы без бурта'!H384</f>
        <v>0</v>
      </c>
      <c r="AK384" s="56">
        <f>'[2]Изложницы без бурта'!I384</f>
        <v>0</v>
      </c>
      <c r="AL384" s="56" t="s">
        <v>604</v>
      </c>
      <c r="AM384" s="56">
        <f>'[2]Изложницы без бурта'!K384</f>
        <v>0</v>
      </c>
    </row>
    <row r="385" spans="1:39" x14ac:dyDescent="0.25">
      <c r="A385" s="310"/>
      <c r="B385" s="1234"/>
      <c r="AB385" s="253" t="str">
        <f t="shared" si="22"/>
        <v/>
      </c>
      <c r="AC385" s="254" t="str">
        <f>IF(COUNTIF(AD$78:AD385,AD385)=1,MAX(AC$78:AC384)+1,"")</f>
        <v/>
      </c>
      <c r="AD385" s="215">
        <f>'[2]Изложницы без бурта'!B385</f>
        <v>185</v>
      </c>
      <c r="AE385" s="215">
        <f>'[2]Изложницы без бурта'!C385</f>
        <v>265</v>
      </c>
      <c r="AF385" s="56">
        <f>'[2]Изложницы без бурта'!D385</f>
        <v>285</v>
      </c>
      <c r="AG385" s="56">
        <f>'[2]Изложницы без бурта'!E385</f>
        <v>320</v>
      </c>
      <c r="AH385" s="56" t="str">
        <f>'[2]Изложницы без бурта'!F385</f>
        <v>72.11870 - 19</v>
      </c>
      <c r="AI385" s="56">
        <f>'[2]Изложницы без бурта'!G385</f>
        <v>0</v>
      </c>
      <c r="AJ385" s="56">
        <f>'[2]Изложницы без бурта'!H385</f>
        <v>0</v>
      </c>
      <c r="AK385" s="56">
        <f>'[2]Изложницы без бурта'!I385</f>
        <v>0</v>
      </c>
      <c r="AL385" s="56" t="s">
        <v>604</v>
      </c>
      <c r="AM385" s="56">
        <f>'[2]Изложницы без бурта'!K385</f>
        <v>0</v>
      </c>
    </row>
    <row r="386" spans="1:39" x14ac:dyDescent="0.25">
      <c r="A386" s="310"/>
      <c r="B386" s="1234"/>
      <c r="AB386" s="253" t="str">
        <f t="shared" si="22"/>
        <v/>
      </c>
      <c r="AC386" s="254" t="str">
        <f>IF(COUNTIF(AD$78:AD386,AD386)=1,MAX(AC$78:AC385)+1,"")</f>
        <v/>
      </c>
      <c r="AD386" s="215">
        <f>'[2]Изложницы без бурта'!B386</f>
        <v>185</v>
      </c>
      <c r="AE386" s="215">
        <f>'[2]Изложницы без бурта'!C386</f>
        <v>265</v>
      </c>
      <c r="AF386" s="56">
        <f>'[2]Изложницы без бурта'!D386</f>
        <v>285</v>
      </c>
      <c r="AG386" s="56">
        <f>'[2]Изложницы без бурта'!E386</f>
        <v>320</v>
      </c>
      <c r="AH386" s="56" t="str">
        <f>'[2]Изложницы без бурта'!F386</f>
        <v>72.11870 - 19</v>
      </c>
      <c r="AI386" s="56">
        <f>'[2]Изложницы без бурта'!G386</f>
        <v>0</v>
      </c>
      <c r="AJ386" s="56">
        <f>'[2]Изложницы без бурта'!H386</f>
        <v>0</v>
      </c>
      <c r="AK386" s="56">
        <f>'[2]Изложницы без бурта'!I386</f>
        <v>0</v>
      </c>
      <c r="AL386" s="56" t="s">
        <v>604</v>
      </c>
      <c r="AM386" s="56">
        <f>'[2]Изложницы без бурта'!K386</f>
        <v>0</v>
      </c>
    </row>
    <row r="387" spans="1:39" x14ac:dyDescent="0.25">
      <c r="A387" s="310"/>
      <c r="B387" s="1234"/>
      <c r="AB387" s="253" t="str">
        <f t="shared" si="22"/>
        <v/>
      </c>
      <c r="AC387" s="254" t="str">
        <f>IF(COUNTIF(AD$78:AD387,AD387)=1,MAX(AC$78:AC386)+1,"")</f>
        <v/>
      </c>
      <c r="AD387" s="215">
        <f>'[2]Изложницы без бурта'!B387</f>
        <v>185</v>
      </c>
      <c r="AE387" s="215">
        <f>'[2]Изложницы без бурта'!C387</f>
        <v>265</v>
      </c>
      <c r="AF387" s="56">
        <f>'[2]Изложницы без бурта'!D387</f>
        <v>285</v>
      </c>
      <c r="AG387" s="56">
        <f>'[2]Изложницы без бурта'!E387</f>
        <v>320</v>
      </c>
      <c r="AH387" s="56" t="str">
        <f>'[2]Изложницы без бурта'!F387</f>
        <v>72.11870 - 19</v>
      </c>
      <c r="AI387" s="56">
        <f>'[2]Изложницы без бурта'!G387</f>
        <v>0</v>
      </c>
      <c r="AJ387" s="56">
        <f>'[2]Изложницы без бурта'!H387</f>
        <v>0</v>
      </c>
      <c r="AK387" s="56">
        <f>'[2]Изложницы без бурта'!I387</f>
        <v>0</v>
      </c>
      <c r="AL387" s="56" t="s">
        <v>604</v>
      </c>
      <c r="AM387" s="56">
        <f>'[2]Изложницы без бурта'!K387</f>
        <v>0</v>
      </c>
    </row>
    <row r="388" spans="1:39" x14ac:dyDescent="0.25">
      <c r="A388" s="310"/>
      <c r="B388" s="1234"/>
      <c r="AB388" s="253" t="str">
        <f t="shared" si="22"/>
        <v/>
      </c>
      <c r="AC388" s="254" t="str">
        <f>IF(COUNTIF(AD$78:AD388,AD388)=1,MAX(AC$78:AC387)+1,"")</f>
        <v/>
      </c>
      <c r="AD388" s="215">
        <f>'[2]Изложницы без бурта'!B388</f>
        <v>185</v>
      </c>
      <c r="AE388" s="215">
        <f>'[2]Изложницы без бурта'!C388</f>
        <v>265</v>
      </c>
      <c r="AF388" s="56">
        <f>'[2]Изложницы без бурта'!D388</f>
        <v>285</v>
      </c>
      <c r="AG388" s="56">
        <f>'[2]Изложницы без бурта'!E388</f>
        <v>320</v>
      </c>
      <c r="AH388" s="56" t="str">
        <f>'[2]Изложницы без бурта'!F388</f>
        <v>72.11870 - 19</v>
      </c>
      <c r="AI388" s="56">
        <f>'[2]Изложницы без бурта'!G388</f>
        <v>0</v>
      </c>
      <c r="AJ388" s="56">
        <f>'[2]Изложницы без бурта'!H388</f>
        <v>0</v>
      </c>
      <c r="AK388" s="56">
        <f>'[2]Изложницы без бурта'!I388</f>
        <v>0</v>
      </c>
      <c r="AL388" s="56" t="s">
        <v>604</v>
      </c>
      <c r="AM388" s="56">
        <f>'[2]Изложницы без бурта'!K388</f>
        <v>0</v>
      </c>
    </row>
    <row r="389" spans="1:39" x14ac:dyDescent="0.25">
      <c r="A389" s="310"/>
      <c r="B389" s="1234"/>
      <c r="AB389" s="253" t="str">
        <f t="shared" si="22"/>
        <v/>
      </c>
      <c r="AC389" s="254" t="str">
        <f>IF(COUNTIF(AD$78:AD389,AD389)=1,MAX(AC$78:AC388)+1,"")</f>
        <v/>
      </c>
      <c r="AD389" s="215">
        <f>'[2]Изложницы без бурта'!B389</f>
        <v>185</v>
      </c>
      <c r="AE389" s="215">
        <f>'[2]Изложницы без бурта'!C389</f>
        <v>265</v>
      </c>
      <c r="AF389" s="56">
        <f>'[2]Изложницы без бурта'!D389</f>
        <v>285</v>
      </c>
      <c r="AG389" s="56">
        <f>'[2]Изложницы без бурта'!E389</f>
        <v>320</v>
      </c>
      <c r="AH389" s="56" t="str">
        <f>'[2]Изложницы без бурта'!F389</f>
        <v>72.11870 - 19</v>
      </c>
      <c r="AI389" s="56">
        <f>'[2]Изложницы без бурта'!G389</f>
        <v>0</v>
      </c>
      <c r="AJ389" s="56">
        <f>'[2]Изложницы без бурта'!H389</f>
        <v>0</v>
      </c>
      <c r="AK389" s="56">
        <f>'[2]Изложницы без бурта'!I389</f>
        <v>0</v>
      </c>
      <c r="AL389" s="56" t="s">
        <v>604</v>
      </c>
      <c r="AM389" s="56">
        <f>'[2]Изложницы без бурта'!K389</f>
        <v>0</v>
      </c>
    </row>
    <row r="390" spans="1:39" x14ac:dyDescent="0.25">
      <c r="A390" s="310"/>
      <c r="B390" s="1234"/>
      <c r="AB390" s="253" t="str">
        <f t="shared" si="22"/>
        <v/>
      </c>
      <c r="AC390" s="254" t="str">
        <f>IF(COUNTIF(AD$78:AD390,AD390)=1,MAX(AC$78:AC389)+1,"")</f>
        <v/>
      </c>
      <c r="AD390" s="215">
        <f>'[2]Изложницы без бурта'!B390</f>
        <v>185</v>
      </c>
      <c r="AE390" s="215">
        <f>'[2]Изложницы без бурта'!C390</f>
        <v>265</v>
      </c>
      <c r="AF390" s="56">
        <f>'[2]Изложницы без бурта'!D390</f>
        <v>285</v>
      </c>
      <c r="AG390" s="56">
        <f>'[2]Изложницы без бурта'!E390</f>
        <v>320</v>
      </c>
      <c r="AH390" s="56" t="str">
        <f>'[2]Изложницы без бурта'!F390</f>
        <v>72.11870 - 19</v>
      </c>
      <c r="AI390" s="56">
        <f>'[2]Изложницы без бурта'!G390</f>
        <v>0</v>
      </c>
      <c r="AJ390" s="56">
        <f>'[2]Изложницы без бурта'!H390</f>
        <v>0</v>
      </c>
      <c r="AK390" s="56">
        <f>'[2]Изложницы без бурта'!I390</f>
        <v>0</v>
      </c>
      <c r="AL390" s="56" t="s">
        <v>604</v>
      </c>
      <c r="AM390" s="56">
        <f>'[2]Изложницы без бурта'!K390</f>
        <v>0</v>
      </c>
    </row>
    <row r="391" spans="1:39" x14ac:dyDescent="0.25">
      <c r="A391" s="310"/>
      <c r="B391" s="1234"/>
      <c r="AB391" s="253" t="str">
        <f t="shared" si="22"/>
        <v/>
      </c>
      <c r="AC391" s="254" t="str">
        <f>IF(COUNTIF(AD$78:AD391,AD391)=1,MAX(AC$78:AC390)+1,"")</f>
        <v/>
      </c>
      <c r="AD391" s="215">
        <f>'[2]Изложницы без бурта'!B391</f>
        <v>185</v>
      </c>
      <c r="AE391" s="215">
        <f>'[2]Изложницы без бурта'!C391</f>
        <v>265</v>
      </c>
      <c r="AF391" s="56">
        <f>'[2]Изложницы без бурта'!D391</f>
        <v>285</v>
      </c>
      <c r="AG391" s="56">
        <f>'[2]Изложницы без бурта'!E391</f>
        <v>320</v>
      </c>
      <c r="AH391" s="56" t="str">
        <f>'[2]Изложницы без бурта'!F391</f>
        <v>72.11870 - 19</v>
      </c>
      <c r="AI391" s="56">
        <f>'[2]Изложницы без бурта'!G391</f>
        <v>0</v>
      </c>
      <c r="AJ391" s="56">
        <f>'[2]Изложницы без бурта'!H391</f>
        <v>0</v>
      </c>
      <c r="AK391" s="56">
        <f>'[2]Изложницы без бурта'!I391</f>
        <v>0</v>
      </c>
      <c r="AL391" s="56" t="s">
        <v>604</v>
      </c>
      <c r="AM391" s="56">
        <f>'[2]Изложницы без бурта'!K391</f>
        <v>0</v>
      </c>
    </row>
    <row r="392" spans="1:39" x14ac:dyDescent="0.25">
      <c r="A392" s="310"/>
      <c r="B392" s="1234"/>
      <c r="AB392" s="253" t="str">
        <f t="shared" si="22"/>
        <v/>
      </c>
      <c r="AC392" s="254" t="str">
        <f>IF(COUNTIF(AD$78:AD392,AD392)=1,MAX(AC$78:AC391)+1,"")</f>
        <v/>
      </c>
      <c r="AD392" s="215">
        <f>'[2]Изложницы без бурта'!B392</f>
        <v>185</v>
      </c>
      <c r="AE392" s="215">
        <f>'[2]Изложницы без бурта'!C392</f>
        <v>215</v>
      </c>
      <c r="AF392" s="56">
        <f>'[2]Изложницы без бурта'!D392</f>
        <v>285</v>
      </c>
      <c r="AG392" s="56">
        <f>'[2]Изложницы без бурта'!E392</f>
        <v>320</v>
      </c>
      <c r="AH392" s="56" t="str">
        <f>'[2]Изложницы без бурта'!F392</f>
        <v>10247619 - 1</v>
      </c>
      <c r="AI392" s="56">
        <f>'[2]Изложницы без бурта'!G392</f>
        <v>7260010</v>
      </c>
      <c r="AJ392" s="56">
        <f>'[2]Изложницы без бурта'!H392</f>
        <v>0</v>
      </c>
      <c r="AK392" s="56">
        <f>'[2]Изложницы без бурта'!I392</f>
        <v>0</v>
      </c>
      <c r="AL392" s="56" t="s">
        <v>604</v>
      </c>
      <c r="AM392" s="56">
        <f>'[2]Изложницы без бурта'!K392</f>
        <v>0</v>
      </c>
    </row>
    <row r="393" spans="1:39" x14ac:dyDescent="0.25">
      <c r="A393" s="310"/>
      <c r="B393" s="1234"/>
      <c r="AB393" s="253" t="str">
        <f t="shared" si="22"/>
        <v/>
      </c>
      <c r="AC393" s="254" t="str">
        <f>IF(COUNTIF(AD$78:AD393,AD393)=1,MAX(AC$78:AC392)+1,"")</f>
        <v/>
      </c>
      <c r="AD393" s="215">
        <f>'[2]Изложницы без бурта'!B393</f>
        <v>185</v>
      </c>
      <c r="AE393" s="215">
        <f>'[2]Изложницы без бурта'!C393</f>
        <v>215</v>
      </c>
      <c r="AF393" s="56">
        <f>'[2]Изложницы без бурта'!D393</f>
        <v>285</v>
      </c>
      <c r="AG393" s="56">
        <f>'[2]Изложницы без бурта'!E393</f>
        <v>320</v>
      </c>
      <c r="AH393" s="56" t="str">
        <f>'[2]Изложницы без бурта'!F393</f>
        <v>10.247619 - 1</v>
      </c>
      <c r="AI393" s="56">
        <f>'[2]Изложницы без бурта'!G393</f>
        <v>7260010</v>
      </c>
      <c r="AJ393" s="56">
        <f>'[2]Изложницы без бурта'!H393</f>
        <v>0</v>
      </c>
      <c r="AK393" s="56">
        <f>'[2]Изложницы без бурта'!I393</f>
        <v>0</v>
      </c>
      <c r="AL393" s="56" t="s">
        <v>604</v>
      </c>
      <c r="AM393" s="56">
        <f>'[2]Изложницы без бурта'!K393</f>
        <v>0</v>
      </c>
    </row>
    <row r="394" spans="1:39" x14ac:dyDescent="0.25">
      <c r="A394" s="310"/>
      <c r="B394" s="1234"/>
      <c r="AB394" s="253" t="str">
        <f t="shared" si="22"/>
        <v/>
      </c>
      <c r="AC394" s="254" t="str">
        <f>IF(COUNTIF(AD$78:AD394,AD394)=1,MAX(AC$78:AC393)+1,"")</f>
        <v/>
      </c>
      <c r="AD394" s="215">
        <f>'[2]Изложницы без бурта'!B394</f>
        <v>185</v>
      </c>
      <c r="AE394" s="215">
        <f>'[2]Изложницы без бурта'!C394</f>
        <v>215</v>
      </c>
      <c r="AF394" s="56">
        <f>'[2]Изложницы без бурта'!D394</f>
        <v>285</v>
      </c>
      <c r="AG394" s="56">
        <f>'[2]Изложницы без бурта'!E394</f>
        <v>320</v>
      </c>
      <c r="AH394" s="56" t="str">
        <f>'[2]Изложницы без бурта'!F394</f>
        <v>10.247619 - 1</v>
      </c>
      <c r="AI394" s="56">
        <f>'[2]Изложницы без бурта'!G394</f>
        <v>7260010</v>
      </c>
      <c r="AJ394" s="56">
        <f>'[2]Изложницы без бурта'!H394</f>
        <v>0</v>
      </c>
      <c r="AK394" s="56">
        <f>'[2]Изложницы без бурта'!I394</f>
        <v>0</v>
      </c>
      <c r="AL394" s="56" t="s">
        <v>604</v>
      </c>
      <c r="AM394" s="56">
        <f>'[2]Изложницы без бурта'!K394</f>
        <v>0</v>
      </c>
    </row>
    <row r="395" spans="1:39" x14ac:dyDescent="0.25">
      <c r="A395" s="310"/>
      <c r="B395" s="1234"/>
      <c r="AB395" s="253" t="str">
        <f t="shared" si="22"/>
        <v/>
      </c>
      <c r="AC395" s="254" t="str">
        <f>IF(COUNTIF(AD$78:AD395,AD395)=1,MAX(AC$78:AC394)+1,"")</f>
        <v/>
      </c>
      <c r="AD395" s="215">
        <f>'[2]Изложницы без бурта'!B395</f>
        <v>185</v>
      </c>
      <c r="AE395" s="215">
        <f>'[2]Изложницы без бурта'!C395</f>
        <v>260</v>
      </c>
      <c r="AF395" s="56">
        <f>'[2]Изложницы без бурта'!D395</f>
        <v>285</v>
      </c>
      <c r="AG395" s="56">
        <f>'[2]Изложницы без бурта'!E395</f>
        <v>320</v>
      </c>
      <c r="AH395" s="56" t="str">
        <f>'[2]Изложницы без бурта'!F395</f>
        <v>72.11870 - 19</v>
      </c>
      <c r="AI395" s="56">
        <f>'[2]Изложницы без бурта'!G395</f>
        <v>0</v>
      </c>
      <c r="AJ395" s="56">
        <f>'[2]Изложницы без бурта'!H395</f>
        <v>0</v>
      </c>
      <c r="AK395" s="56">
        <f>'[2]Изложницы без бурта'!I395</f>
        <v>0</v>
      </c>
      <c r="AL395" s="56" t="s">
        <v>604</v>
      </c>
      <c r="AM395" s="56">
        <f>'[2]Изложницы без бурта'!K395</f>
        <v>0</v>
      </c>
    </row>
    <row r="396" spans="1:39" x14ac:dyDescent="0.25">
      <c r="A396" s="310"/>
      <c r="B396" s="1234"/>
      <c r="AB396" s="253" t="str">
        <f t="shared" si="22"/>
        <v/>
      </c>
      <c r="AC396" s="254" t="str">
        <f>IF(COUNTIF(AD$78:AD396,AD396)=1,MAX(AC$78:AC395)+1,"")</f>
        <v/>
      </c>
      <c r="AD396" s="215">
        <f>'[2]Изложницы без бурта'!B396</f>
        <v>185</v>
      </c>
      <c r="AE396" s="215">
        <f>'[2]Изложницы без бурта'!C396</f>
        <v>265</v>
      </c>
      <c r="AF396" s="56">
        <f>'[2]Изложницы без бурта'!D396</f>
        <v>285</v>
      </c>
      <c r="AG396" s="56">
        <f>'[2]Изложницы без бурта'!E396</f>
        <v>320</v>
      </c>
      <c r="AH396" s="56" t="str">
        <f>'[2]Изложницы без бурта'!F396</f>
        <v>72.11870 - 19</v>
      </c>
      <c r="AI396" s="56">
        <f>'[2]Изложницы без бурта'!G396</f>
        <v>0</v>
      </c>
      <c r="AJ396" s="56">
        <f>'[2]Изложницы без бурта'!H396</f>
        <v>0</v>
      </c>
      <c r="AK396" s="56">
        <f>'[2]Изложницы без бурта'!I396</f>
        <v>0</v>
      </c>
      <c r="AL396" s="56" t="s">
        <v>604</v>
      </c>
      <c r="AM396" s="56">
        <f>'[2]Изложницы без бурта'!K396</f>
        <v>0</v>
      </c>
    </row>
    <row r="397" spans="1:39" x14ac:dyDescent="0.25">
      <c r="A397" s="310"/>
      <c r="B397" s="1234"/>
      <c r="AB397" s="253" t="str">
        <f t="shared" si="22"/>
        <v/>
      </c>
      <c r="AC397" s="254" t="str">
        <f>IF(COUNTIF(AD$78:AD397,AD397)=1,MAX(AC$78:AC396)+1,"")</f>
        <v/>
      </c>
      <c r="AD397" s="215">
        <f>'[2]Изложницы без бурта'!B397</f>
        <v>185</v>
      </c>
      <c r="AE397" s="215">
        <f>'[2]Изложницы без бурта'!C397</f>
        <v>215</v>
      </c>
      <c r="AF397" s="56">
        <f>'[2]Изложницы без бурта'!D397</f>
        <v>285</v>
      </c>
      <c r="AG397" s="56">
        <f>'[2]Изложницы без бурта'!E397</f>
        <v>320</v>
      </c>
      <c r="AH397" s="56" t="str">
        <f>'[2]Изложницы без бурта'!F397</f>
        <v>10.247619 - 1</v>
      </c>
      <c r="AI397" s="56">
        <f>'[2]Изложницы без бурта'!G397</f>
        <v>7260011</v>
      </c>
      <c r="AJ397" s="56">
        <f>'[2]Изложницы без бурта'!H397</f>
        <v>0</v>
      </c>
      <c r="AK397" s="56">
        <f>'[2]Изложницы без бурта'!I397</f>
        <v>0</v>
      </c>
      <c r="AL397" s="56" t="s">
        <v>604</v>
      </c>
      <c r="AM397" s="56">
        <f>'[2]Изложницы без бурта'!K397</f>
        <v>0</v>
      </c>
    </row>
    <row r="398" spans="1:39" x14ac:dyDescent="0.25">
      <c r="A398" s="310"/>
      <c r="B398" s="1234"/>
      <c r="AB398" s="253" t="str">
        <f t="shared" si="22"/>
        <v/>
      </c>
      <c r="AC398" s="254" t="str">
        <f>IF(COUNTIF(AD$78:AD398,AD398)=1,MAX(AC$78:AC397)+1,"")</f>
        <v/>
      </c>
      <c r="AD398" s="215">
        <f>'[2]Изложницы без бурта'!B398</f>
        <v>185</v>
      </c>
      <c r="AE398" s="215">
        <f>'[2]Изложницы без бурта'!C398</f>
        <v>213</v>
      </c>
      <c r="AF398" s="56">
        <f>'[2]Изложницы без бурта'!D398</f>
        <v>285</v>
      </c>
      <c r="AG398" s="56">
        <f>'[2]Изложницы без бурта'!E398</f>
        <v>320</v>
      </c>
      <c r="AH398" s="56" t="str">
        <f>'[2]Изложницы без бурта'!F398</f>
        <v>10.247619 - 1</v>
      </c>
      <c r="AI398" s="56">
        <f>'[2]Изложницы без бурта'!G398</f>
        <v>7260011</v>
      </c>
      <c r="AJ398" s="56">
        <f>'[2]Изложницы без бурта'!H398</f>
        <v>0</v>
      </c>
      <c r="AK398" s="56">
        <f>'[2]Изложницы без бурта'!I398</f>
        <v>0</v>
      </c>
      <c r="AL398" s="56" t="s">
        <v>604</v>
      </c>
      <c r="AM398" s="56">
        <f>'[2]Изложницы без бурта'!K398</f>
        <v>0</v>
      </c>
    </row>
    <row r="399" spans="1:39" x14ac:dyDescent="0.25">
      <c r="A399" s="310"/>
      <c r="B399" s="1234"/>
      <c r="AB399" s="253" t="str">
        <f t="shared" si="22"/>
        <v/>
      </c>
      <c r="AC399" s="254" t="str">
        <f>IF(COUNTIF(AD$78:AD399,AD399)=1,MAX(AC$78:AC398)+1,"")</f>
        <v/>
      </c>
      <c r="AD399" s="215">
        <f>'[2]Изложницы без бурта'!B399</f>
        <v>185</v>
      </c>
      <c r="AE399" s="215">
        <f>'[2]Изложницы без бурта'!C399</f>
        <v>215</v>
      </c>
      <c r="AF399" s="56">
        <f>'[2]Изложницы без бурта'!D399</f>
        <v>285</v>
      </c>
      <c r="AG399" s="56">
        <f>'[2]Изложницы без бурта'!E399</f>
        <v>320</v>
      </c>
      <c r="AH399" s="56" t="str">
        <f>'[2]Изложницы без бурта'!F399</f>
        <v>10.247619 - 1</v>
      </c>
      <c r="AI399" s="56">
        <f>'[2]Изложницы без бурта'!G399</f>
        <v>7260011</v>
      </c>
      <c r="AJ399" s="56">
        <f>'[2]Изложницы без бурта'!H399</f>
        <v>0</v>
      </c>
      <c r="AK399" s="56">
        <f>'[2]Изложницы без бурта'!I399</f>
        <v>0</v>
      </c>
      <c r="AL399" s="56" t="s">
        <v>604</v>
      </c>
      <c r="AM399" s="56">
        <f>'[2]Изложницы без бурта'!K399</f>
        <v>0</v>
      </c>
    </row>
    <row r="400" spans="1:39" x14ac:dyDescent="0.25">
      <c r="A400" s="310"/>
      <c r="B400" s="1234"/>
      <c r="AB400" s="253" t="str">
        <f t="shared" si="22"/>
        <v/>
      </c>
      <c r="AC400" s="254" t="str">
        <f>IF(COUNTIF(AD$78:AD400,AD400)=1,MAX(AC$78:AC399)+1,"")</f>
        <v/>
      </c>
      <c r="AD400" s="215">
        <f>'[2]Изложницы без бурта'!B400</f>
        <v>185</v>
      </c>
      <c r="AE400" s="215">
        <f>'[2]Изложницы без бурта'!C400</f>
        <v>215</v>
      </c>
      <c r="AF400" s="56">
        <f>'[2]Изложницы без бурта'!D400</f>
        <v>285</v>
      </c>
      <c r="AG400" s="56">
        <f>'[2]Изложницы без бурта'!E400</f>
        <v>320</v>
      </c>
      <c r="AH400" s="56" t="str">
        <f>'[2]Изложницы без бурта'!F400</f>
        <v>10.247619 - 1</v>
      </c>
      <c r="AI400" s="56">
        <f>'[2]Изложницы без бурта'!G400</f>
        <v>7260011</v>
      </c>
      <c r="AJ400" s="56">
        <f>'[2]Изложницы без бурта'!H400</f>
        <v>0</v>
      </c>
      <c r="AK400" s="56">
        <f>'[2]Изложницы без бурта'!I400</f>
        <v>0</v>
      </c>
      <c r="AL400" s="56" t="s">
        <v>604</v>
      </c>
      <c r="AM400" s="56">
        <f>'[2]Изложницы без бурта'!K400</f>
        <v>0</v>
      </c>
    </row>
    <row r="401" spans="1:39" x14ac:dyDescent="0.25">
      <c r="A401" s="310"/>
      <c r="B401" s="1234"/>
      <c r="AB401" s="253" t="str">
        <f t="shared" si="22"/>
        <v/>
      </c>
      <c r="AC401" s="254" t="str">
        <f>IF(COUNTIF(AD$78:AD401,AD401)=1,MAX(AC$78:AC400)+1,"")</f>
        <v/>
      </c>
      <c r="AD401" s="215">
        <f>'[2]Изложницы без бурта'!B401</f>
        <v>185</v>
      </c>
      <c r="AE401" s="215">
        <f>'[2]Изложницы без бурта'!C401</f>
        <v>215</v>
      </c>
      <c r="AF401" s="56">
        <f>'[2]Изложницы без бурта'!D401</f>
        <v>285</v>
      </c>
      <c r="AG401" s="56">
        <f>'[2]Изложницы без бурта'!E401</f>
        <v>320</v>
      </c>
      <c r="AH401" s="56" t="str">
        <f>'[2]Изложницы без бурта'!F401</f>
        <v>10.247619 - 1</v>
      </c>
      <c r="AI401" s="56">
        <f>'[2]Изложницы без бурта'!G401</f>
        <v>7260011</v>
      </c>
      <c r="AJ401" s="56">
        <f>'[2]Изложницы без бурта'!H401</f>
        <v>0</v>
      </c>
      <c r="AK401" s="56">
        <f>'[2]Изложницы без бурта'!I401</f>
        <v>0</v>
      </c>
      <c r="AL401" s="56" t="s">
        <v>604</v>
      </c>
      <c r="AM401" s="56">
        <f>'[2]Изложницы без бурта'!K401</f>
        <v>0</v>
      </c>
    </row>
    <row r="402" spans="1:39" x14ac:dyDescent="0.25">
      <c r="A402" s="310"/>
      <c r="B402" s="1234"/>
      <c r="AB402" s="253" t="str">
        <f t="shared" si="22"/>
        <v/>
      </c>
      <c r="AC402" s="254" t="str">
        <f>IF(COUNTIF(AD$78:AD402,AD402)=1,MAX(AC$78:AC401)+1,"")</f>
        <v/>
      </c>
      <c r="AD402" s="215">
        <f>'[2]Изложницы без бурта'!B402</f>
        <v>185</v>
      </c>
      <c r="AE402" s="215">
        <f>'[2]Изложницы без бурта'!C402</f>
        <v>213</v>
      </c>
      <c r="AF402" s="56">
        <f>'[2]Изложницы без бурта'!D402</f>
        <v>285</v>
      </c>
      <c r="AG402" s="56">
        <f>'[2]Изложницы без бурта'!E402</f>
        <v>320</v>
      </c>
      <c r="AH402" s="56" t="str">
        <f>'[2]Изложницы без бурта'!F402</f>
        <v>10.247619 - 1</v>
      </c>
      <c r="AI402" s="56">
        <f>'[2]Изложницы без бурта'!G402</f>
        <v>7260011</v>
      </c>
      <c r="AJ402" s="56">
        <f>'[2]Изложницы без бурта'!H402</f>
        <v>0</v>
      </c>
      <c r="AK402" s="56">
        <f>'[2]Изложницы без бурта'!I402</f>
        <v>0</v>
      </c>
      <c r="AL402" s="56" t="s">
        <v>604</v>
      </c>
      <c r="AM402" s="56">
        <f>'[2]Изложницы без бурта'!K402</f>
        <v>0</v>
      </c>
    </row>
    <row r="403" spans="1:39" x14ac:dyDescent="0.25">
      <c r="A403" s="310"/>
      <c r="B403" s="1234"/>
      <c r="AB403" s="253" t="str">
        <f t="shared" si="22"/>
        <v/>
      </c>
      <c r="AC403" s="254" t="str">
        <f>IF(COUNTIF(AD$78:AD403,AD403)=1,MAX(AC$78:AC402)+1,"")</f>
        <v/>
      </c>
      <c r="AD403" s="215">
        <f>'[2]Изложницы без бурта'!B403</f>
        <v>185</v>
      </c>
      <c r="AE403" s="215">
        <f>'[2]Изложницы без бурта'!C403</f>
        <v>213</v>
      </c>
      <c r="AF403" s="56">
        <f>'[2]Изложницы без бурта'!D403</f>
        <v>285</v>
      </c>
      <c r="AG403" s="56">
        <f>'[2]Изложницы без бурта'!E403</f>
        <v>320</v>
      </c>
      <c r="AH403" s="56" t="str">
        <f>'[2]Изложницы без бурта'!F403</f>
        <v>10.247619 - 1</v>
      </c>
      <c r="AI403" s="56">
        <f>'[2]Изложницы без бурта'!G403</f>
        <v>7260011</v>
      </c>
      <c r="AJ403" s="56">
        <f>'[2]Изложницы без бурта'!H403</f>
        <v>0</v>
      </c>
      <c r="AK403" s="56">
        <f>'[2]Изложницы без бурта'!I403</f>
        <v>0</v>
      </c>
      <c r="AL403" s="56" t="s">
        <v>604</v>
      </c>
      <c r="AM403" s="56">
        <f>'[2]Изложницы без бурта'!K403</f>
        <v>0</v>
      </c>
    </row>
    <row r="404" spans="1:39" x14ac:dyDescent="0.25">
      <c r="AB404" s="253" t="str">
        <f t="shared" si="22"/>
        <v/>
      </c>
      <c r="AC404" s="254" t="str">
        <f>IF(COUNTIF(AD$78:AD404,AD404)=1,MAX(AC$78:AC403)+1,"")</f>
        <v/>
      </c>
      <c r="AD404" s="215">
        <f>'[2]Изложницы без бурта'!B404</f>
        <v>185</v>
      </c>
      <c r="AE404" s="215">
        <f>'[2]Изложницы без бурта'!C404</f>
        <v>213</v>
      </c>
      <c r="AF404" s="56">
        <f>'[2]Изложницы без бурта'!D404</f>
        <v>285</v>
      </c>
      <c r="AG404" s="56">
        <f>'[2]Изложницы без бурта'!E404</f>
        <v>320</v>
      </c>
      <c r="AH404" s="56" t="str">
        <f>'[2]Изложницы без бурта'!F404</f>
        <v>10.247619 - 1</v>
      </c>
      <c r="AI404" s="56">
        <f>'[2]Изложницы без бурта'!G404</f>
        <v>7260011</v>
      </c>
      <c r="AJ404" s="56">
        <f>'[2]Изложницы без бурта'!H404</f>
        <v>0</v>
      </c>
      <c r="AK404" s="56">
        <f>'[2]Изложницы без бурта'!I404</f>
        <v>0</v>
      </c>
      <c r="AL404" s="56" t="s">
        <v>604</v>
      </c>
      <c r="AM404" s="56">
        <f>'[2]Изложницы без бурта'!K404</f>
        <v>0</v>
      </c>
    </row>
    <row r="405" spans="1:39" x14ac:dyDescent="0.25">
      <c r="AB405" s="253" t="str">
        <f t="shared" si="22"/>
        <v/>
      </c>
      <c r="AC405" s="254" t="str">
        <f>IF(COUNTIF(AD$78:AD405,AD405)=1,MAX(AC$78:AC404)+1,"")</f>
        <v/>
      </c>
      <c r="AD405" s="215">
        <f>'[2]Изложницы без бурта'!B405</f>
        <v>185</v>
      </c>
      <c r="AE405" s="215">
        <f>'[2]Изложницы без бурта'!C405</f>
        <v>215</v>
      </c>
      <c r="AF405" s="56">
        <f>'[2]Изложницы без бурта'!D405</f>
        <v>285</v>
      </c>
      <c r="AG405" s="56">
        <f>'[2]Изложницы без бурта'!E405</f>
        <v>320</v>
      </c>
      <c r="AH405" s="56" t="str">
        <f>'[2]Изложницы без бурта'!F405</f>
        <v>10.247619 - 1</v>
      </c>
      <c r="AI405" s="56">
        <f>'[2]Изложницы без бурта'!G405</f>
        <v>7260011</v>
      </c>
      <c r="AJ405" s="56">
        <f>'[2]Изложницы без бурта'!H405</f>
        <v>0</v>
      </c>
      <c r="AK405" s="56">
        <f>'[2]Изложницы без бурта'!I405</f>
        <v>0</v>
      </c>
      <c r="AL405" s="56" t="s">
        <v>604</v>
      </c>
      <c r="AM405" s="56">
        <f>'[2]Изложницы без бурта'!K405</f>
        <v>0</v>
      </c>
    </row>
    <row r="406" spans="1:39" x14ac:dyDescent="0.25">
      <c r="AB406" s="253" t="str">
        <f t="shared" si="22"/>
        <v/>
      </c>
      <c r="AC406" s="254" t="str">
        <f>IF(COUNTIF(AD$78:AD406,AD406)=1,MAX(AC$78:AC405)+1,"")</f>
        <v/>
      </c>
      <c r="AD406" s="215">
        <f>'[2]Изложницы без бурта'!B406</f>
        <v>185</v>
      </c>
      <c r="AE406" s="215">
        <f>'[2]Изложницы без бурта'!C406</f>
        <v>215</v>
      </c>
      <c r="AF406" s="56">
        <f>'[2]Изложницы без бурта'!D406</f>
        <v>285</v>
      </c>
      <c r="AG406" s="56">
        <f>'[2]Изложницы без бурта'!E406</f>
        <v>320</v>
      </c>
      <c r="AH406" s="56" t="str">
        <f>'[2]Изложницы без бурта'!F406</f>
        <v>10.247619 - 1</v>
      </c>
      <c r="AI406" s="56">
        <f>'[2]Изложницы без бурта'!G406</f>
        <v>7260011</v>
      </c>
      <c r="AJ406" s="56">
        <f>'[2]Изложницы без бурта'!H406</f>
        <v>0</v>
      </c>
      <c r="AK406" s="56">
        <f>'[2]Изложницы без бурта'!I406</f>
        <v>0</v>
      </c>
      <c r="AL406" s="56" t="s">
        <v>604</v>
      </c>
      <c r="AM406" s="56">
        <f>'[2]Изложницы без бурта'!K406</f>
        <v>0</v>
      </c>
    </row>
    <row r="407" spans="1:39" x14ac:dyDescent="0.25">
      <c r="AB407" s="253" t="str">
        <f t="shared" si="22"/>
        <v/>
      </c>
      <c r="AC407" s="254" t="str">
        <f>IF(COUNTIF(AD$78:AD407,AD407)=1,MAX(AC$78:AC406)+1,"")</f>
        <v/>
      </c>
      <c r="AD407" s="215">
        <f>'[2]Изложницы без бурта'!B407</f>
        <v>185</v>
      </c>
      <c r="AE407" s="215">
        <f>'[2]Изложницы без бурта'!C407</f>
        <v>213</v>
      </c>
      <c r="AF407" s="56">
        <f>'[2]Изложницы без бурта'!D407</f>
        <v>285</v>
      </c>
      <c r="AG407" s="56">
        <f>'[2]Изложницы без бурта'!E407</f>
        <v>320</v>
      </c>
      <c r="AH407" s="56" t="str">
        <f>'[2]Изложницы без бурта'!F407</f>
        <v>10.247619 - 1</v>
      </c>
      <c r="AI407" s="56">
        <f>'[2]Изложницы без бурта'!G407</f>
        <v>7260011</v>
      </c>
      <c r="AJ407" s="56">
        <f>'[2]Изложницы без бурта'!H407</f>
        <v>0</v>
      </c>
      <c r="AK407" s="56">
        <f>'[2]Изложницы без бурта'!I407</f>
        <v>0</v>
      </c>
      <c r="AL407" s="56" t="s">
        <v>604</v>
      </c>
      <c r="AM407" s="56">
        <f>'[2]Изложницы без бурта'!K407</f>
        <v>0</v>
      </c>
    </row>
    <row r="408" spans="1:39" x14ac:dyDescent="0.25">
      <c r="AB408" s="253" t="str">
        <f t="shared" si="22"/>
        <v/>
      </c>
      <c r="AC408" s="254" t="str">
        <f>IF(COUNTIF(AD$78:AD408,AD408)=1,MAX(AC$78:AC407)+1,"")</f>
        <v/>
      </c>
      <c r="AD408" s="215">
        <f>'[2]Изложницы без бурта'!B408</f>
        <v>185</v>
      </c>
      <c r="AE408" s="215">
        <f>'[2]Изложницы без бурта'!C408</f>
        <v>213</v>
      </c>
      <c r="AF408" s="56">
        <f>'[2]Изложницы без бурта'!D408</f>
        <v>285</v>
      </c>
      <c r="AG408" s="56">
        <f>'[2]Изложницы без бурта'!E408</f>
        <v>320</v>
      </c>
      <c r="AH408" s="56" t="str">
        <f>'[2]Изложницы без бурта'!F408</f>
        <v>10.247619 - 1</v>
      </c>
      <c r="AI408" s="56">
        <f>'[2]Изложницы без бурта'!G408</f>
        <v>7260011</v>
      </c>
      <c r="AJ408" s="56">
        <f>'[2]Изложницы без бурта'!H408</f>
        <v>0</v>
      </c>
      <c r="AK408" s="56">
        <f>'[2]Изложницы без бурта'!I408</f>
        <v>0</v>
      </c>
      <c r="AL408" s="56" t="s">
        <v>604</v>
      </c>
      <c r="AM408" s="56">
        <f>'[2]Изложницы без бурта'!K408</f>
        <v>0</v>
      </c>
    </row>
    <row r="409" spans="1:39" x14ac:dyDescent="0.25">
      <c r="AB409" s="253" t="str">
        <f t="shared" si="22"/>
        <v/>
      </c>
      <c r="AC409" s="254" t="str">
        <f>IF(COUNTIF(AD$78:AD409,AD409)=1,MAX(AC$78:AC408)+1,"")</f>
        <v/>
      </c>
      <c r="AD409" s="215">
        <f>'[2]Изложницы без бурта'!B409</f>
        <v>185</v>
      </c>
      <c r="AE409" s="215">
        <f>'[2]Изложницы без бурта'!C409</f>
        <v>212</v>
      </c>
      <c r="AF409" s="56">
        <f>'[2]Изложницы без бурта'!D409</f>
        <v>285</v>
      </c>
      <c r="AG409" s="56">
        <f>'[2]Изложницы без бурта'!E409</f>
        <v>320</v>
      </c>
      <c r="AH409" s="56" t="str">
        <f>'[2]Изложницы без бурта'!F409</f>
        <v>10.247619 - 1</v>
      </c>
      <c r="AI409" s="56">
        <f>'[2]Изложницы без бурта'!G409</f>
        <v>7260011</v>
      </c>
      <c r="AJ409" s="56">
        <f>'[2]Изложницы без бурта'!H409</f>
        <v>0</v>
      </c>
      <c r="AK409" s="56">
        <f>'[2]Изложницы без бурта'!I409</f>
        <v>0</v>
      </c>
      <c r="AL409" s="56" t="s">
        <v>604</v>
      </c>
      <c r="AM409" s="56">
        <f>'[2]Изложницы без бурта'!K409</f>
        <v>0</v>
      </c>
    </row>
    <row r="410" spans="1:39" x14ac:dyDescent="0.25">
      <c r="AB410" s="253" t="str">
        <f t="shared" si="22"/>
        <v/>
      </c>
      <c r="AC410" s="254" t="str">
        <f>IF(COUNTIF(AD$78:AD410,AD410)=1,MAX(AC$78:AC409)+1,"")</f>
        <v/>
      </c>
      <c r="AD410" s="215">
        <f>'[2]Изложницы без бурта'!B410</f>
        <v>185</v>
      </c>
      <c r="AE410" s="215">
        <f>'[2]Изложницы без бурта'!C410</f>
        <v>215</v>
      </c>
      <c r="AF410" s="56">
        <f>'[2]Изложницы без бурта'!D410</f>
        <v>285</v>
      </c>
      <c r="AG410" s="56">
        <f>'[2]Изложницы без бурта'!E410</f>
        <v>320</v>
      </c>
      <c r="AH410" s="56" t="str">
        <f>'[2]Изложницы без бурта'!F410</f>
        <v>10.247619 - 1</v>
      </c>
      <c r="AI410" s="56">
        <f>'[2]Изложницы без бурта'!G410</f>
        <v>7260011</v>
      </c>
      <c r="AJ410" s="56">
        <f>'[2]Изложницы без бурта'!H410</f>
        <v>0</v>
      </c>
      <c r="AK410" s="56">
        <f>'[2]Изложницы без бурта'!I410</f>
        <v>0</v>
      </c>
      <c r="AL410" s="56" t="s">
        <v>604</v>
      </c>
      <c r="AM410" s="56">
        <f>'[2]Изложницы без бурта'!K410</f>
        <v>0</v>
      </c>
    </row>
    <row r="411" spans="1:39" x14ac:dyDescent="0.25">
      <c r="AB411" s="253" t="str">
        <f t="shared" si="22"/>
        <v/>
      </c>
      <c r="AC411" s="254" t="str">
        <f>IF(COUNTIF(AD$78:AD411,AD411)=1,MAX(AC$78:AC410)+1,"")</f>
        <v/>
      </c>
      <c r="AD411" s="215">
        <f>'[2]Изложницы без бурта'!B411</f>
        <v>185</v>
      </c>
      <c r="AE411" s="215">
        <f>'[2]Изложницы без бурта'!C411</f>
        <v>260</v>
      </c>
      <c r="AF411" s="56">
        <f>'[2]Изложницы без бурта'!D411</f>
        <v>285</v>
      </c>
      <c r="AG411" s="56">
        <f>'[2]Изложницы без бурта'!E411</f>
        <v>320</v>
      </c>
      <c r="AH411" s="56" t="str">
        <f>'[2]Изложницы без бурта'!F411</f>
        <v>72.11870 - 19</v>
      </c>
      <c r="AI411" s="56">
        <f>'[2]Изложницы без бурта'!G411</f>
        <v>0</v>
      </c>
      <c r="AJ411" s="56">
        <f>'[2]Изложницы без бурта'!H411</f>
        <v>0</v>
      </c>
      <c r="AK411" s="56">
        <f>'[2]Изложницы без бурта'!I411</f>
        <v>0</v>
      </c>
      <c r="AL411" s="56" t="s">
        <v>604</v>
      </c>
      <c r="AM411" s="56">
        <f>'[2]Изложницы без бурта'!K411</f>
        <v>0</v>
      </c>
    </row>
    <row r="412" spans="1:39" x14ac:dyDescent="0.25">
      <c r="AB412" s="253" t="str">
        <f t="shared" si="22"/>
        <v/>
      </c>
      <c r="AC412" s="254" t="str">
        <f>IF(COUNTIF(AD$78:AD412,AD412)=1,MAX(AC$78:AC411)+1,"")</f>
        <v/>
      </c>
      <c r="AD412" s="215">
        <f>'[2]Изложницы без бурта'!B412</f>
        <v>185</v>
      </c>
      <c r="AE412" s="215">
        <f>'[2]Изложницы без бурта'!C412</f>
        <v>503</v>
      </c>
      <c r="AF412" s="56">
        <f>'[2]Изложницы без бурта'!D412</f>
        <v>285</v>
      </c>
      <c r="AG412" s="56">
        <f>'[2]Изложницы без бурта'!E412</f>
        <v>320</v>
      </c>
      <c r="AH412" s="56" t="str">
        <f>'[2]Изложницы без бурта'!F412</f>
        <v>72.23398 - 01</v>
      </c>
      <c r="AI412" s="56">
        <f>'[2]Изложницы без бурта'!G412</f>
        <v>7260012</v>
      </c>
      <c r="AJ412" s="56">
        <f>'[2]Изложницы без бурта'!H412</f>
        <v>0</v>
      </c>
      <c r="AK412" s="56">
        <f>'[2]Изложницы без бурта'!I412</f>
        <v>0</v>
      </c>
      <c r="AL412" s="56" t="s">
        <v>604</v>
      </c>
      <c r="AM412" s="56">
        <f>'[2]Изложницы без бурта'!K412</f>
        <v>0</v>
      </c>
    </row>
    <row r="413" spans="1:39" x14ac:dyDescent="0.25">
      <c r="AB413" s="253" t="str">
        <f t="shared" si="22"/>
        <v/>
      </c>
      <c r="AC413" s="254" t="str">
        <f>IF(COUNTIF(AD$78:AD413,AD413)=1,MAX(AC$78:AC412)+1,"")</f>
        <v/>
      </c>
      <c r="AD413" s="215">
        <f>'[2]Изложницы без бурта'!B413</f>
        <v>185</v>
      </c>
      <c r="AE413" s="215">
        <f>'[2]Изложницы без бурта'!C413</f>
        <v>213</v>
      </c>
      <c r="AF413" s="56">
        <f>'[2]Изложницы без бурта'!D413</f>
        <v>285</v>
      </c>
      <c r="AG413" s="56">
        <f>'[2]Изложницы без бурта'!E413</f>
        <v>320</v>
      </c>
      <c r="AH413" s="56" t="str">
        <f>'[2]Изложницы без бурта'!F413</f>
        <v>10.247619 - 1</v>
      </c>
      <c r="AI413" s="56">
        <f>'[2]Изложницы без бурта'!G413</f>
        <v>7260011</v>
      </c>
      <c r="AJ413" s="56">
        <f>'[2]Изложницы без бурта'!H413</f>
        <v>0</v>
      </c>
      <c r="AK413" s="56">
        <f>'[2]Изложницы без бурта'!I413</f>
        <v>0</v>
      </c>
      <c r="AL413" s="56" t="s">
        <v>604</v>
      </c>
      <c r="AM413" s="56">
        <f>'[2]Изложницы без бурта'!K413</f>
        <v>0</v>
      </c>
    </row>
    <row r="414" spans="1:39" x14ac:dyDescent="0.25">
      <c r="AB414" s="253" t="str">
        <f t="shared" si="22"/>
        <v/>
      </c>
      <c r="AC414" s="254" t="str">
        <f>IF(COUNTIF(AD$78:AD414,AD414)=1,MAX(AC$78:AC413)+1,"")</f>
        <v/>
      </c>
      <c r="AD414" s="215">
        <f>'[2]Изложницы без бурта'!B414</f>
        <v>185</v>
      </c>
      <c r="AE414" s="215">
        <f>'[2]Изложницы без бурта'!C414</f>
        <v>213</v>
      </c>
      <c r="AF414" s="56">
        <f>'[2]Изложницы без бурта'!D414</f>
        <v>285</v>
      </c>
      <c r="AG414" s="56">
        <f>'[2]Изложницы без бурта'!E414</f>
        <v>320</v>
      </c>
      <c r="AH414" s="56" t="str">
        <f>'[2]Изложницы без бурта'!F414</f>
        <v>10.247619 - 1</v>
      </c>
      <c r="AI414" s="56">
        <f>'[2]Изложницы без бурта'!G414</f>
        <v>7260011</v>
      </c>
      <c r="AJ414" s="56">
        <f>'[2]Изложницы без бурта'!H414</f>
        <v>0</v>
      </c>
      <c r="AK414" s="56">
        <f>'[2]Изложницы без бурта'!I414</f>
        <v>0</v>
      </c>
      <c r="AL414" s="56" t="s">
        <v>604</v>
      </c>
      <c r="AM414" s="56">
        <f>'[2]Изложницы без бурта'!K414</f>
        <v>0</v>
      </c>
    </row>
    <row r="415" spans="1:39" x14ac:dyDescent="0.25">
      <c r="AB415" s="253" t="str">
        <f t="shared" si="22"/>
        <v/>
      </c>
      <c r="AC415" s="254" t="str">
        <f>IF(COUNTIF(AD$78:AD415,AD415)=1,MAX(AC$78:AC414)+1,"")</f>
        <v/>
      </c>
      <c r="AD415" s="215">
        <f>'[2]Изложницы без бурта'!B415</f>
        <v>185</v>
      </c>
      <c r="AE415" s="215">
        <f>'[2]Изложницы без бурта'!C415</f>
        <v>213</v>
      </c>
      <c r="AF415" s="56">
        <f>'[2]Изложницы без бурта'!D415</f>
        <v>285</v>
      </c>
      <c r="AG415" s="56">
        <f>'[2]Изложницы без бурта'!E415</f>
        <v>320</v>
      </c>
      <c r="AH415" s="56" t="str">
        <f>'[2]Изложницы без бурта'!F415</f>
        <v>10.247619 - 1</v>
      </c>
      <c r="AI415" s="56">
        <f>'[2]Изложницы без бурта'!G415</f>
        <v>7260011</v>
      </c>
      <c r="AJ415" s="56">
        <f>'[2]Изложницы без бурта'!H415</f>
        <v>0</v>
      </c>
      <c r="AK415" s="56">
        <f>'[2]Изложницы без бурта'!I415</f>
        <v>0</v>
      </c>
      <c r="AL415" s="56" t="s">
        <v>604</v>
      </c>
      <c r="AM415" s="56">
        <f>'[2]Изложницы без бурта'!K415</f>
        <v>0</v>
      </c>
    </row>
    <row r="416" spans="1:39" x14ac:dyDescent="0.25">
      <c r="AB416" s="253" t="str">
        <f t="shared" si="22"/>
        <v/>
      </c>
      <c r="AC416" s="254" t="str">
        <f>IF(COUNTIF(AD$78:AD416,AD416)=1,MAX(AC$78:AC415)+1,"")</f>
        <v/>
      </c>
      <c r="AD416" s="215">
        <f>'[2]Изложницы без бурта'!B416</f>
        <v>185</v>
      </c>
      <c r="AE416" s="215">
        <f>'[2]Изложницы без бурта'!C416</f>
        <v>265</v>
      </c>
      <c r="AF416" s="56">
        <f>'[2]Изложницы без бурта'!D416</f>
        <v>285</v>
      </c>
      <c r="AG416" s="56">
        <f>'[2]Изложницы без бурта'!E416</f>
        <v>320</v>
      </c>
      <c r="AH416" s="56" t="str">
        <f>'[2]Изложницы без бурта'!F416</f>
        <v>72.11870 - 19</v>
      </c>
      <c r="AI416" s="56">
        <f>'[2]Изложницы без бурта'!G416</f>
        <v>0</v>
      </c>
      <c r="AJ416" s="56">
        <f>'[2]Изложницы без бурта'!H416</f>
        <v>0</v>
      </c>
      <c r="AK416" s="56">
        <f>'[2]Изложницы без бурта'!I416</f>
        <v>0</v>
      </c>
      <c r="AL416" s="56" t="s">
        <v>604</v>
      </c>
      <c r="AM416" s="56">
        <f>'[2]Изложницы без бурта'!K416</f>
        <v>0</v>
      </c>
    </row>
    <row r="417" spans="28:39" x14ac:dyDescent="0.25">
      <c r="AB417" s="253" t="str">
        <f t="shared" si="22"/>
        <v/>
      </c>
      <c r="AC417" s="254">
        <f>IF(COUNTIF(AD$78:AD417,AD417)=1,MAX(AC$78:AC416)+1,"")</f>
        <v>40</v>
      </c>
      <c r="AD417" s="215">
        <f>'[2]Изложницы без бурта'!B417</f>
        <v>187.5</v>
      </c>
      <c r="AE417" s="215">
        <f>'[2]Изложницы без бурта'!C417</f>
        <v>213</v>
      </c>
      <c r="AF417" s="56">
        <f>'[2]Изложницы без бурта'!D417</f>
        <v>285</v>
      </c>
      <c r="AG417" s="56">
        <f>'[2]Изложницы без бурта'!E417</f>
        <v>320</v>
      </c>
      <c r="AH417" s="56" t="str">
        <f>'[2]Изложницы без бурта'!F417</f>
        <v>10.247619 - 2</v>
      </c>
      <c r="AI417" s="56">
        <f>'[2]Изложницы без бурта'!G417</f>
        <v>7260013</v>
      </c>
      <c r="AJ417" s="56">
        <f>'[2]Изложницы без бурта'!H417</f>
        <v>0</v>
      </c>
      <c r="AK417" s="56">
        <f>'[2]Изложницы без бурта'!I417</f>
        <v>0</v>
      </c>
      <c r="AL417" s="56" t="s">
        <v>605</v>
      </c>
      <c r="AM417" s="56">
        <f>'[2]Изложницы без бурта'!K417</f>
        <v>0</v>
      </c>
    </row>
    <row r="418" spans="28:39" x14ac:dyDescent="0.25">
      <c r="AB418" s="253" t="str">
        <f t="shared" si="22"/>
        <v/>
      </c>
      <c r="AC418" s="254" t="str">
        <f>IF(COUNTIF(AD$78:AD418,AD418)=1,MAX(AC$78:AC417)+1,"")</f>
        <v/>
      </c>
      <c r="AD418" s="215">
        <f>'[2]Изложницы без бурта'!B418</f>
        <v>187.5</v>
      </c>
      <c r="AE418" s="215">
        <f>'[2]Изложницы без бурта'!C418</f>
        <v>215</v>
      </c>
      <c r="AF418" s="56">
        <f>'[2]Изложницы без бурта'!D418</f>
        <v>285</v>
      </c>
      <c r="AG418" s="56">
        <f>'[2]Изложницы без бурта'!E418</f>
        <v>320</v>
      </c>
      <c r="AH418" s="56" t="str">
        <f>'[2]Изложницы без бурта'!F418</f>
        <v>10.247619 - 2</v>
      </c>
      <c r="AI418" s="56">
        <f>'[2]Изложницы без бурта'!G418</f>
        <v>7260013</v>
      </c>
      <c r="AJ418" s="56">
        <f>'[2]Изложницы без бурта'!H418</f>
        <v>0</v>
      </c>
      <c r="AK418" s="56">
        <f>'[2]Изложницы без бурта'!I418</f>
        <v>0</v>
      </c>
      <c r="AL418" s="56" t="s">
        <v>605</v>
      </c>
      <c r="AM418" s="56">
        <f>'[2]Изложницы без бурта'!K418</f>
        <v>0</v>
      </c>
    </row>
    <row r="419" spans="28:39" x14ac:dyDescent="0.25">
      <c r="AB419" s="253" t="str">
        <f t="shared" si="22"/>
        <v/>
      </c>
      <c r="AC419" s="254" t="str">
        <f>IF(COUNTIF(AD$78:AD419,AD419)=1,MAX(AC$78:AC418)+1,"")</f>
        <v/>
      </c>
      <c r="AD419" s="215">
        <f>'[2]Изложницы без бурта'!B419</f>
        <v>187.5</v>
      </c>
      <c r="AE419" s="215">
        <f>'[2]Изложницы без бурта'!C419</f>
        <v>265</v>
      </c>
      <c r="AF419" s="56">
        <f>'[2]Изложницы без бурта'!D419</f>
        <v>285</v>
      </c>
      <c r="AG419" s="56">
        <f>'[2]Изложницы без бурта'!E419</f>
        <v>320</v>
      </c>
      <c r="AH419" s="56" t="str">
        <f>'[2]Изложницы без бурта'!F419</f>
        <v>72.11870 - 20</v>
      </c>
      <c r="AI419" s="56">
        <f>'[2]Изложницы без бурта'!G419</f>
        <v>0</v>
      </c>
      <c r="AJ419" s="56">
        <f>'[2]Изложницы без бурта'!H419</f>
        <v>0</v>
      </c>
      <c r="AK419" s="56">
        <f>'[2]Изложницы без бурта'!I419</f>
        <v>0</v>
      </c>
      <c r="AL419" s="56" t="s">
        <v>605</v>
      </c>
      <c r="AM419" s="56">
        <f>'[2]Изложницы без бурта'!K419</f>
        <v>0</v>
      </c>
    </row>
    <row r="420" spans="28:39" x14ac:dyDescent="0.25">
      <c r="AB420" s="253" t="str">
        <f t="shared" si="22"/>
        <v/>
      </c>
      <c r="AC420" s="254" t="str">
        <f>IF(COUNTIF(AD$78:AD420,AD420)=1,MAX(AC$78:AC419)+1,"")</f>
        <v/>
      </c>
      <c r="AD420" s="215">
        <f>'[2]Изложницы без бурта'!B420</f>
        <v>187.5</v>
      </c>
      <c r="AE420" s="215">
        <f>'[2]Изложницы без бурта'!C420</f>
        <v>265</v>
      </c>
      <c r="AF420" s="56">
        <f>'[2]Изложницы без бурта'!D420</f>
        <v>285</v>
      </c>
      <c r="AG420" s="56">
        <f>'[2]Изложницы без бурта'!E420</f>
        <v>320</v>
      </c>
      <c r="AH420" s="56" t="str">
        <f>'[2]Изложницы без бурта'!F420</f>
        <v>72.11870 - 20</v>
      </c>
      <c r="AI420" s="56">
        <f>'[2]Изложницы без бурта'!G420</f>
        <v>0</v>
      </c>
      <c r="AJ420" s="56">
        <f>'[2]Изложницы без бурта'!H420</f>
        <v>0</v>
      </c>
      <c r="AK420" s="56">
        <f>'[2]Изложницы без бурта'!I420</f>
        <v>0</v>
      </c>
      <c r="AL420" s="56" t="s">
        <v>605</v>
      </c>
      <c r="AM420" s="56">
        <f>'[2]Изложницы без бурта'!K420</f>
        <v>0</v>
      </c>
    </row>
    <row r="421" spans="28:39" x14ac:dyDescent="0.25">
      <c r="AB421" s="253" t="str">
        <f t="shared" si="22"/>
        <v/>
      </c>
      <c r="AC421" s="254" t="str">
        <f>IF(COUNTIF(AD$78:AD421,AD421)=1,MAX(AC$78:AC420)+1,"")</f>
        <v/>
      </c>
      <c r="AD421" s="215">
        <f>'[2]Изложницы без бурта'!B421</f>
        <v>187.5</v>
      </c>
      <c r="AE421" s="215">
        <f>'[2]Изложницы без бурта'!C421</f>
        <v>265</v>
      </c>
      <c r="AF421" s="56">
        <f>'[2]Изложницы без бурта'!D421</f>
        <v>285</v>
      </c>
      <c r="AG421" s="56">
        <f>'[2]Изложницы без бурта'!E421</f>
        <v>320</v>
      </c>
      <c r="AH421" s="56" t="str">
        <f>'[2]Изложницы без бурта'!F421</f>
        <v>72.11870 - 20</v>
      </c>
      <c r="AI421" s="56">
        <f>'[2]Изложницы без бурта'!G421</f>
        <v>0</v>
      </c>
      <c r="AJ421" s="56">
        <f>'[2]Изложницы без бурта'!H421</f>
        <v>0</v>
      </c>
      <c r="AK421" s="56">
        <f>'[2]Изложницы без бурта'!I421</f>
        <v>0</v>
      </c>
      <c r="AL421" s="56" t="s">
        <v>605</v>
      </c>
      <c r="AM421" s="56">
        <f>'[2]Изложницы без бурта'!K421</f>
        <v>0</v>
      </c>
    </row>
    <row r="422" spans="28:39" x14ac:dyDescent="0.25">
      <c r="AB422" s="253" t="str">
        <f t="shared" si="22"/>
        <v/>
      </c>
      <c r="AC422" s="254" t="str">
        <f>IF(COUNTIF(AD$78:AD422,AD422)=1,MAX(AC$78:AC421)+1,"")</f>
        <v/>
      </c>
      <c r="AD422" s="215">
        <f>'[2]Изложницы без бурта'!B422</f>
        <v>187.5</v>
      </c>
      <c r="AE422" s="215">
        <f>'[2]Изложницы без бурта'!C422</f>
        <v>265</v>
      </c>
      <c r="AF422" s="56">
        <f>'[2]Изложницы без бурта'!D422</f>
        <v>285</v>
      </c>
      <c r="AG422" s="56">
        <f>'[2]Изложницы без бурта'!E422</f>
        <v>320</v>
      </c>
      <c r="AH422" s="56" t="str">
        <f>'[2]Изложницы без бурта'!F422</f>
        <v>72.11870 - 20</v>
      </c>
      <c r="AI422" s="56">
        <f>'[2]Изложницы без бурта'!G422</f>
        <v>0</v>
      </c>
      <c r="AJ422" s="56">
        <f>'[2]Изложницы без бурта'!H422</f>
        <v>0</v>
      </c>
      <c r="AK422" s="56">
        <f>'[2]Изложницы без бурта'!I422</f>
        <v>0</v>
      </c>
      <c r="AL422" s="56" t="s">
        <v>605</v>
      </c>
      <c r="AM422" s="56">
        <f>'[2]Изложницы без бурта'!K422</f>
        <v>0</v>
      </c>
    </row>
    <row r="423" spans="28:39" x14ac:dyDescent="0.25">
      <c r="AB423" s="253" t="str">
        <f t="shared" si="22"/>
        <v/>
      </c>
      <c r="AC423" s="254" t="str">
        <f>IF(COUNTIF(AD$78:AD423,AD423)=1,MAX(AC$78:AC422)+1,"")</f>
        <v/>
      </c>
      <c r="AD423" s="215">
        <f>'[2]Изложницы без бурта'!B423</f>
        <v>187.5</v>
      </c>
      <c r="AE423" s="215">
        <f>'[2]Изложницы без бурта'!C423</f>
        <v>215</v>
      </c>
      <c r="AF423" s="56">
        <f>'[2]Изложницы без бурта'!D423</f>
        <v>285</v>
      </c>
      <c r="AG423" s="56">
        <f>'[2]Изложницы без бурта'!E423</f>
        <v>320</v>
      </c>
      <c r="AH423" s="56" t="str">
        <f>'[2]Изложницы без бурта'!F423</f>
        <v>10.247619 - 2</v>
      </c>
      <c r="AI423" s="56">
        <f>'[2]Изложницы без бурта'!G423</f>
        <v>7260013</v>
      </c>
      <c r="AJ423" s="56">
        <f>'[2]Изложницы без бурта'!H423</f>
        <v>0</v>
      </c>
      <c r="AK423" s="56">
        <f>'[2]Изложницы без бурта'!I423</f>
        <v>0</v>
      </c>
      <c r="AL423" s="56" t="s">
        <v>605</v>
      </c>
      <c r="AM423" s="56">
        <f>'[2]Изложницы без бурта'!K423</f>
        <v>0</v>
      </c>
    </row>
    <row r="424" spans="28:39" x14ac:dyDescent="0.25">
      <c r="AB424" s="253" t="str">
        <f t="shared" si="22"/>
        <v/>
      </c>
      <c r="AC424" s="254" t="str">
        <f>IF(COUNTIF(AD$78:AD424,AD424)=1,MAX(AC$78:AC423)+1,"")</f>
        <v/>
      </c>
      <c r="AD424" s="215">
        <f>'[2]Изложницы без бурта'!B424</f>
        <v>187.5</v>
      </c>
      <c r="AE424" s="215">
        <f>'[2]Изложницы без бурта'!C424</f>
        <v>215</v>
      </c>
      <c r="AF424" s="56">
        <f>'[2]Изложницы без бурта'!D424</f>
        <v>285</v>
      </c>
      <c r="AG424" s="56">
        <f>'[2]Изложницы без бурта'!E424</f>
        <v>320</v>
      </c>
      <c r="AH424" s="56" t="str">
        <f>'[2]Изложницы без бурта'!F424</f>
        <v>10.247619 - 2</v>
      </c>
      <c r="AI424" s="56">
        <f>'[2]Изложницы без бурта'!G424</f>
        <v>7260013</v>
      </c>
      <c r="AJ424" s="56">
        <f>'[2]Изложницы без бурта'!H424</f>
        <v>0</v>
      </c>
      <c r="AK424" s="56">
        <f>'[2]Изложницы без бурта'!I424</f>
        <v>0</v>
      </c>
      <c r="AL424" s="56" t="s">
        <v>605</v>
      </c>
      <c r="AM424" s="56">
        <f>'[2]Изложницы без бурта'!K424</f>
        <v>0</v>
      </c>
    </row>
    <row r="425" spans="28:39" x14ac:dyDescent="0.25">
      <c r="AB425" s="253" t="str">
        <f t="shared" si="22"/>
        <v/>
      </c>
      <c r="AC425" s="254" t="str">
        <f>IF(COUNTIF(AD$78:AD425,AD425)=1,MAX(AC$78:AC424)+1,"")</f>
        <v/>
      </c>
      <c r="AD425" s="215">
        <f>'[2]Изложницы без бурта'!B425</f>
        <v>187.5</v>
      </c>
      <c r="AE425" s="215">
        <f>'[2]Изложницы без бурта'!C425</f>
        <v>317</v>
      </c>
      <c r="AF425" s="56">
        <f>'[2]Изложницы без бурта'!D425</f>
        <v>285</v>
      </c>
      <c r="AG425" s="56">
        <f>'[2]Изложницы без бурта'!E425</f>
        <v>320</v>
      </c>
      <c r="AH425" s="56" t="str">
        <f>'[2]Изложницы без бурта'!F425</f>
        <v>72.11871 - 20</v>
      </c>
      <c r="AI425" s="56">
        <f>'[2]Изложницы без бурта'!G425</f>
        <v>0</v>
      </c>
      <c r="AJ425" s="56">
        <f>'[2]Изложницы без бурта'!H425</f>
        <v>0</v>
      </c>
      <c r="AK425" s="56">
        <f>'[2]Изложницы без бурта'!I425</f>
        <v>0</v>
      </c>
      <c r="AL425" s="56" t="s">
        <v>605</v>
      </c>
      <c r="AM425" s="56">
        <f>'[2]Изложницы без бурта'!K425</f>
        <v>0</v>
      </c>
    </row>
    <row r="426" spans="28:39" x14ac:dyDescent="0.25">
      <c r="AB426" s="253" t="str">
        <f t="shared" si="22"/>
        <v/>
      </c>
      <c r="AC426" s="254" t="str">
        <f>IF(COUNTIF(AD$78:AD426,AD426)=1,MAX(AC$78:AC425)+1,"")</f>
        <v/>
      </c>
      <c r="AD426" s="215">
        <f>'[2]Изложницы без бурта'!B426</f>
        <v>187.5</v>
      </c>
      <c r="AE426" s="215">
        <f>'[2]Изложницы без бурта'!C426</f>
        <v>440</v>
      </c>
      <c r="AF426" s="56">
        <f>'[2]Изложницы без бурта'!D426</f>
        <v>285</v>
      </c>
      <c r="AG426" s="56">
        <f>'[2]Изложницы без бурта'!E426</f>
        <v>320</v>
      </c>
      <c r="AH426" s="56" t="str">
        <f>'[2]Изложницы без бурта'!F426</f>
        <v>10.241070 - 01</v>
      </c>
      <c r="AI426" s="56">
        <f>'[2]Изложницы без бурта'!G426</f>
        <v>7260014</v>
      </c>
      <c r="AJ426" s="56">
        <f>'[2]Изложницы без бурта'!H426</f>
        <v>0</v>
      </c>
      <c r="AK426" s="56">
        <f>'[2]Изложницы без бурта'!I426</f>
        <v>0</v>
      </c>
      <c r="AL426" s="56" t="s">
        <v>605</v>
      </c>
      <c r="AM426" s="56">
        <f>'[2]Изложницы без бурта'!K426</f>
        <v>0</v>
      </c>
    </row>
    <row r="427" spans="28:39" x14ac:dyDescent="0.25">
      <c r="AB427" s="253" t="str">
        <f t="shared" si="22"/>
        <v/>
      </c>
      <c r="AC427" s="254" t="str">
        <f>IF(COUNTIF(AD$78:AD427,AD427)=1,MAX(AC$78:AC426)+1,"")</f>
        <v/>
      </c>
      <c r="AD427" s="215">
        <f>'[2]Изложницы без бурта'!B427</f>
        <v>187.5</v>
      </c>
      <c r="AE427" s="215">
        <f>'[2]Изложницы без бурта'!C427</f>
        <v>505</v>
      </c>
      <c r="AF427" s="56">
        <f>'[2]Изложницы без бурта'!D427</f>
        <v>285</v>
      </c>
      <c r="AG427" s="56">
        <f>'[2]Изложницы без бурта'!E427</f>
        <v>320</v>
      </c>
      <c r="AH427" s="56" t="str">
        <f>'[2]Изложницы без бурта'!F427</f>
        <v>72.23398 - 02</v>
      </c>
      <c r="AI427" s="56">
        <f>'[2]Изложницы без бурта'!G427</f>
        <v>7260015</v>
      </c>
      <c r="AJ427" s="56">
        <f>'[2]Изложницы без бурта'!H427</f>
        <v>0</v>
      </c>
      <c r="AK427" s="56">
        <f>'[2]Изложницы без бурта'!I427</f>
        <v>0</v>
      </c>
      <c r="AL427" s="56" t="s">
        <v>605</v>
      </c>
      <c r="AM427" s="56">
        <f>'[2]Изложницы без бурта'!K427</f>
        <v>0</v>
      </c>
    </row>
    <row r="428" spans="28:39" x14ac:dyDescent="0.25">
      <c r="AB428" s="253" t="str">
        <f t="shared" si="22"/>
        <v/>
      </c>
      <c r="AC428" s="254" t="str">
        <f>IF(COUNTIF(AD$78:AD428,AD428)=1,MAX(AC$78:AC427)+1,"")</f>
        <v/>
      </c>
      <c r="AD428" s="215">
        <f>'[2]Изложницы без бурта'!B428</f>
        <v>187.5</v>
      </c>
      <c r="AE428" s="215">
        <f>'[2]Изложницы без бурта'!C428</f>
        <v>320</v>
      </c>
      <c r="AF428" s="56">
        <f>'[2]Изложницы без бурта'!D428</f>
        <v>285</v>
      </c>
      <c r="AG428" s="56">
        <f>'[2]Изложницы без бурта'!E428</f>
        <v>320</v>
      </c>
      <c r="AH428" s="56" t="str">
        <f>'[2]Изложницы без бурта'!F428</f>
        <v>72.11871 - 20</v>
      </c>
      <c r="AI428" s="56">
        <f>'[2]Изложницы без бурта'!G428</f>
        <v>0</v>
      </c>
      <c r="AJ428" s="56">
        <f>'[2]Изложницы без бурта'!H428</f>
        <v>0</v>
      </c>
      <c r="AK428" s="56">
        <f>'[2]Изложницы без бурта'!I428</f>
        <v>0</v>
      </c>
      <c r="AL428" s="56" t="s">
        <v>605</v>
      </c>
      <c r="AM428" s="56">
        <f>'[2]Изложницы без бурта'!K428</f>
        <v>0</v>
      </c>
    </row>
    <row r="429" spans="28:39" x14ac:dyDescent="0.25">
      <c r="AB429" s="253" t="str">
        <f t="shared" si="22"/>
        <v/>
      </c>
      <c r="AC429" s="254" t="str">
        <f>IF(COUNTIF(AD$78:AD429,AD429)=1,MAX(AC$78:AC428)+1,"")</f>
        <v/>
      </c>
      <c r="AD429" s="215">
        <f>'[2]Изложницы без бурта'!B429</f>
        <v>187.5</v>
      </c>
      <c r="AE429" s="215">
        <f>'[2]Изложницы без бурта'!C429</f>
        <v>215</v>
      </c>
      <c r="AF429" s="56">
        <f>'[2]Изложницы без бурта'!D429</f>
        <v>285</v>
      </c>
      <c r="AG429" s="56">
        <f>'[2]Изложницы без бурта'!E429</f>
        <v>320</v>
      </c>
      <c r="AH429" s="56" t="str">
        <f>'[2]Изложницы без бурта'!F429</f>
        <v>10.247619 - 2</v>
      </c>
      <c r="AI429" s="56">
        <f>'[2]Изложницы без бурта'!G429</f>
        <v>7260013</v>
      </c>
      <c r="AJ429" s="56">
        <f>'[2]Изложницы без бурта'!H429</f>
        <v>0</v>
      </c>
      <c r="AK429" s="56">
        <f>'[2]Изложницы без бурта'!I429</f>
        <v>0</v>
      </c>
      <c r="AL429" s="56" t="s">
        <v>605</v>
      </c>
      <c r="AM429" s="56">
        <f>'[2]Изложницы без бурта'!K429</f>
        <v>0</v>
      </c>
    </row>
    <row r="430" spans="28:39" x14ac:dyDescent="0.25">
      <c r="AB430" s="253" t="str">
        <f t="shared" si="22"/>
        <v/>
      </c>
      <c r="AC430" s="254" t="str">
        <f>IF(COUNTIF(AD$78:AD430,AD430)=1,MAX(AC$78:AC429)+1,"")</f>
        <v/>
      </c>
      <c r="AD430" s="215">
        <f>'[2]Изложницы без бурта'!B430</f>
        <v>187.5</v>
      </c>
      <c r="AE430" s="215">
        <f>'[2]Изложницы без бурта'!C430</f>
        <v>265</v>
      </c>
      <c r="AF430" s="56">
        <f>'[2]Изложницы без бурта'!D430</f>
        <v>285</v>
      </c>
      <c r="AG430" s="56">
        <f>'[2]Изложницы без бурта'!E430</f>
        <v>320</v>
      </c>
      <c r="AH430" s="56" t="str">
        <f>'[2]Изложницы без бурта'!F430</f>
        <v>72.11870 - 20</v>
      </c>
      <c r="AI430" s="56">
        <f>'[2]Изложницы без бурта'!G430</f>
        <v>0</v>
      </c>
      <c r="AJ430" s="56">
        <f>'[2]Изложницы без бурта'!H430</f>
        <v>0</v>
      </c>
      <c r="AK430" s="56">
        <f>'[2]Изложницы без бурта'!I430</f>
        <v>0</v>
      </c>
      <c r="AL430" s="56" t="s">
        <v>605</v>
      </c>
      <c r="AM430" s="56">
        <f>'[2]Изложницы без бурта'!K430</f>
        <v>0</v>
      </c>
    </row>
    <row r="431" spans="28:39" x14ac:dyDescent="0.25">
      <c r="AB431" s="253" t="str">
        <f t="shared" si="22"/>
        <v/>
      </c>
      <c r="AC431" s="254" t="str">
        <f>IF(COUNTIF(AD$78:AD431,AD431)=1,MAX(AC$78:AC430)+1,"")</f>
        <v/>
      </c>
      <c r="AD431" s="215">
        <f>'[2]Изложницы без бурта'!B431</f>
        <v>187.5</v>
      </c>
      <c r="AE431" s="215">
        <f>'[2]Изложницы без бурта'!C431</f>
        <v>260</v>
      </c>
      <c r="AF431" s="56">
        <f>'[2]Изложницы без бурта'!D431</f>
        <v>285</v>
      </c>
      <c r="AG431" s="56">
        <f>'[2]Изложницы без бурта'!E431</f>
        <v>320</v>
      </c>
      <c r="AH431" s="56" t="str">
        <f>'[2]Изложницы без бурта'!F431</f>
        <v>72.11870 - 20</v>
      </c>
      <c r="AI431" s="56">
        <f>'[2]Изложницы без бурта'!G431</f>
        <v>0</v>
      </c>
      <c r="AJ431" s="56">
        <f>'[2]Изложницы без бурта'!H431</f>
        <v>0</v>
      </c>
      <c r="AK431" s="56">
        <f>'[2]Изложницы без бурта'!I431</f>
        <v>0</v>
      </c>
      <c r="AL431" s="56" t="s">
        <v>605</v>
      </c>
      <c r="AM431" s="56">
        <f>'[2]Изложницы без бурта'!K431</f>
        <v>0</v>
      </c>
    </row>
    <row r="432" spans="28:39" x14ac:dyDescent="0.25">
      <c r="AB432" s="253" t="str">
        <f t="shared" si="22"/>
        <v/>
      </c>
      <c r="AC432" s="254" t="str">
        <f>IF(COUNTIF(AD$78:AD432,AD432)=1,MAX(AC$78:AC431)+1,"")</f>
        <v/>
      </c>
      <c r="AD432" s="215">
        <f>'[2]Изложницы без бурта'!B432</f>
        <v>187.5</v>
      </c>
      <c r="AE432" s="215">
        <f>'[2]Изложницы без бурта'!C432</f>
        <v>317</v>
      </c>
      <c r="AF432" s="56">
        <f>'[2]Изложницы без бурта'!D432</f>
        <v>285</v>
      </c>
      <c r="AG432" s="56">
        <f>'[2]Изложницы без бурта'!E432</f>
        <v>320</v>
      </c>
      <c r="AH432" s="56" t="str">
        <f>'[2]Изложницы без бурта'!F432</f>
        <v>72.11871 - 20</v>
      </c>
      <c r="AI432" s="56">
        <f>'[2]Изложницы без бурта'!G432</f>
        <v>0</v>
      </c>
      <c r="AJ432" s="56">
        <f>'[2]Изложницы без бурта'!H432</f>
        <v>0</v>
      </c>
      <c r="AK432" s="56">
        <f>'[2]Изложницы без бурта'!I432</f>
        <v>0</v>
      </c>
      <c r="AL432" s="56" t="s">
        <v>605</v>
      </c>
      <c r="AM432" s="56">
        <f>'[2]Изложницы без бурта'!K432</f>
        <v>0</v>
      </c>
    </row>
    <row r="433" spans="28:39" x14ac:dyDescent="0.25">
      <c r="AB433" s="253" t="str">
        <f t="shared" si="22"/>
        <v/>
      </c>
      <c r="AC433" s="254" t="str">
        <f>IF(COUNTIF(AD$78:AD433,AD433)=1,MAX(AC$78:AC432)+1,"")</f>
        <v/>
      </c>
      <c r="AD433" s="215">
        <f>'[2]Изложницы без бурта'!B433</f>
        <v>187.5</v>
      </c>
      <c r="AE433" s="215">
        <f>'[2]Изложницы без бурта'!C433</f>
        <v>265</v>
      </c>
      <c r="AF433" s="56">
        <f>'[2]Изложницы без бурта'!D433</f>
        <v>285</v>
      </c>
      <c r="AG433" s="56">
        <f>'[2]Изложницы без бурта'!E433</f>
        <v>320</v>
      </c>
      <c r="AH433" s="56" t="str">
        <f>'[2]Изложницы без бурта'!F433</f>
        <v>72.11870 - 20</v>
      </c>
      <c r="AI433" s="56">
        <f>'[2]Изложницы без бурта'!G433</f>
        <v>0</v>
      </c>
      <c r="AJ433" s="56">
        <f>'[2]Изложницы без бурта'!H433</f>
        <v>0</v>
      </c>
      <c r="AK433" s="56">
        <f>'[2]Изложницы без бурта'!I433</f>
        <v>0</v>
      </c>
      <c r="AL433" s="56" t="s">
        <v>605</v>
      </c>
      <c r="AM433" s="56">
        <f>'[2]Изложницы без бурта'!K433</f>
        <v>0</v>
      </c>
    </row>
    <row r="434" spans="28:39" x14ac:dyDescent="0.25">
      <c r="AB434" s="253" t="str">
        <f t="shared" si="22"/>
        <v/>
      </c>
      <c r="AC434" s="254">
        <f>IF(COUNTIF(AD$78:AD434,AD434)=1,MAX(AC$78:AC433)+1,"")</f>
        <v>41</v>
      </c>
      <c r="AD434" s="215">
        <f>'[2]Изложницы без бурта'!B434</f>
        <v>190</v>
      </c>
      <c r="AE434" s="215">
        <f>'[2]Изложницы без бурта'!C434</f>
        <v>265</v>
      </c>
      <c r="AF434" s="56">
        <f>'[2]Изложницы без бурта'!D434</f>
        <v>285</v>
      </c>
      <c r="AG434" s="56">
        <f>'[2]Изложницы без бурта'!E434</f>
        <v>320</v>
      </c>
      <c r="AH434" s="56" t="str">
        <f>'[2]Изложницы без бурта'!F434</f>
        <v>72.11870 - 21</v>
      </c>
      <c r="AI434" s="56">
        <f>'[2]Изложницы без бурта'!G434</f>
        <v>0</v>
      </c>
      <c r="AJ434" s="56">
        <f>'[2]Изложницы без бурта'!H434</f>
        <v>0</v>
      </c>
      <c r="AK434" s="56">
        <f>'[2]Изложницы без бурта'!I434</f>
        <v>0</v>
      </c>
      <c r="AL434" s="56" t="s">
        <v>606</v>
      </c>
      <c r="AM434" s="56">
        <f>'[2]Изложницы без бурта'!K434</f>
        <v>0</v>
      </c>
    </row>
    <row r="435" spans="28:39" x14ac:dyDescent="0.25">
      <c r="AB435" s="253" t="str">
        <f t="shared" si="22"/>
        <v/>
      </c>
      <c r="AC435" s="254" t="str">
        <f>IF(COUNTIF(AD$78:AD435,AD435)=1,MAX(AC$78:AC434)+1,"")</f>
        <v/>
      </c>
      <c r="AD435" s="215">
        <f>'[2]Изложницы без бурта'!B435</f>
        <v>190</v>
      </c>
      <c r="AE435" s="215">
        <f>'[2]Изложницы без бурта'!C435</f>
        <v>263</v>
      </c>
      <c r="AF435" s="56">
        <f>'[2]Изложницы без бурта'!D435</f>
        <v>285</v>
      </c>
      <c r="AG435" s="56">
        <f>'[2]Изложницы без бурта'!E435</f>
        <v>320</v>
      </c>
      <c r="AH435" s="56" t="str">
        <f>'[2]Изложницы без бурта'!F435</f>
        <v>72.11870 - 21</v>
      </c>
      <c r="AI435" s="56">
        <f>'[2]Изложницы без бурта'!G435</f>
        <v>0</v>
      </c>
      <c r="AJ435" s="56">
        <f>'[2]Изложницы без бурта'!H435</f>
        <v>0</v>
      </c>
      <c r="AK435" s="56">
        <f>'[2]Изложницы без бурта'!I435</f>
        <v>0</v>
      </c>
      <c r="AL435" s="56" t="s">
        <v>606</v>
      </c>
      <c r="AM435" s="56">
        <f>'[2]Изложницы без бурта'!K435</f>
        <v>0</v>
      </c>
    </row>
    <row r="436" spans="28:39" x14ac:dyDescent="0.25">
      <c r="AB436" s="253" t="str">
        <f t="shared" si="22"/>
        <v/>
      </c>
      <c r="AC436" s="254" t="str">
        <f>IF(COUNTIF(AD$78:AD436,AD436)=1,MAX(AC$78:AC435)+1,"")</f>
        <v/>
      </c>
      <c r="AD436" s="215">
        <f>'[2]Изложницы без бурта'!B436</f>
        <v>190</v>
      </c>
      <c r="AE436" s="215">
        <f>'[2]Изложницы без бурта'!C436</f>
        <v>263</v>
      </c>
      <c r="AF436" s="56">
        <f>'[2]Изложницы без бурта'!D436</f>
        <v>285</v>
      </c>
      <c r="AG436" s="56">
        <f>'[2]Изложницы без бурта'!E436</f>
        <v>320</v>
      </c>
      <c r="AH436" s="56" t="str">
        <f>'[2]Изложницы без бурта'!F436</f>
        <v>72.11870 - 21</v>
      </c>
      <c r="AI436" s="56">
        <f>'[2]Изложницы без бурта'!G436</f>
        <v>0</v>
      </c>
      <c r="AJ436" s="56">
        <f>'[2]Изложницы без бурта'!H436</f>
        <v>0</v>
      </c>
      <c r="AK436" s="56">
        <f>'[2]Изложницы без бурта'!I436</f>
        <v>0</v>
      </c>
      <c r="AL436" s="56" t="s">
        <v>606</v>
      </c>
      <c r="AM436" s="56">
        <f>'[2]Изложницы без бурта'!K436</f>
        <v>0</v>
      </c>
    </row>
    <row r="437" spans="28:39" x14ac:dyDescent="0.25">
      <c r="AB437" s="253" t="str">
        <f t="shared" si="22"/>
        <v/>
      </c>
      <c r="AC437" s="254" t="str">
        <f>IF(COUNTIF(AD$78:AD437,AD437)=1,MAX(AC$78:AC436)+1,"")</f>
        <v/>
      </c>
      <c r="AD437" s="215">
        <f>'[2]Изложницы без бурта'!B437</f>
        <v>190</v>
      </c>
      <c r="AE437" s="215">
        <f>'[2]Изложницы без бурта'!C437</f>
        <v>265</v>
      </c>
      <c r="AF437" s="56">
        <f>'[2]Изложницы без бурта'!D437</f>
        <v>285</v>
      </c>
      <c r="AG437" s="56">
        <f>'[2]Изложницы без бурта'!E437</f>
        <v>320</v>
      </c>
      <c r="AH437" s="56" t="str">
        <f>'[2]Изложницы без бурта'!F437</f>
        <v>72.11870 - 21</v>
      </c>
      <c r="AI437" s="56">
        <f>'[2]Изложницы без бурта'!G437</f>
        <v>0</v>
      </c>
      <c r="AJ437" s="56">
        <f>'[2]Изложницы без бурта'!H437</f>
        <v>0</v>
      </c>
      <c r="AK437" s="56">
        <f>'[2]Изложницы без бурта'!I437</f>
        <v>0</v>
      </c>
      <c r="AL437" s="56" t="s">
        <v>606</v>
      </c>
      <c r="AM437" s="56">
        <f>'[2]Изложницы без бурта'!K437</f>
        <v>0</v>
      </c>
    </row>
    <row r="438" spans="28:39" x14ac:dyDescent="0.25">
      <c r="AB438" s="253" t="str">
        <f t="shared" si="22"/>
        <v/>
      </c>
      <c r="AC438" s="254" t="str">
        <f>IF(COUNTIF(AD$78:AD438,AD438)=1,MAX(AC$78:AC437)+1,"")</f>
        <v/>
      </c>
      <c r="AD438" s="215">
        <f>'[2]Изложницы без бурта'!B438</f>
        <v>190</v>
      </c>
      <c r="AE438" s="215">
        <f>'[2]Изложницы без бурта'!C438</f>
        <v>265</v>
      </c>
      <c r="AF438" s="56">
        <f>'[2]Изложницы без бурта'!D438</f>
        <v>285</v>
      </c>
      <c r="AG438" s="56">
        <f>'[2]Изложницы без бурта'!E438</f>
        <v>320</v>
      </c>
      <c r="AH438" s="56" t="str">
        <f>'[2]Изложницы без бурта'!F438</f>
        <v>72.11870 - 21</v>
      </c>
      <c r="AI438" s="56">
        <f>'[2]Изложницы без бурта'!G438</f>
        <v>0</v>
      </c>
      <c r="AJ438" s="56">
        <f>'[2]Изложницы без бурта'!H438</f>
        <v>0</v>
      </c>
      <c r="AK438" s="56">
        <f>'[2]Изложницы без бурта'!I438</f>
        <v>0</v>
      </c>
      <c r="AL438" s="56" t="s">
        <v>606</v>
      </c>
      <c r="AM438" s="56">
        <f>'[2]Изложницы без бурта'!K438</f>
        <v>0</v>
      </c>
    </row>
    <row r="439" spans="28:39" x14ac:dyDescent="0.25">
      <c r="AB439" s="253" t="str">
        <f t="shared" si="22"/>
        <v/>
      </c>
      <c r="AC439" s="254" t="str">
        <f>IF(COUNTIF(AD$78:AD439,AD439)=1,MAX(AC$78:AC438)+1,"")</f>
        <v/>
      </c>
      <c r="AD439" s="215">
        <f>'[2]Изложницы без бурта'!B439</f>
        <v>190</v>
      </c>
      <c r="AE439" s="215">
        <f>'[2]Изложницы без бурта'!C439</f>
        <v>265</v>
      </c>
      <c r="AF439" s="56">
        <f>'[2]Изложницы без бурта'!D439</f>
        <v>285</v>
      </c>
      <c r="AG439" s="56">
        <f>'[2]Изложницы без бурта'!E439</f>
        <v>320</v>
      </c>
      <c r="AH439" s="56" t="str">
        <f>'[2]Изложницы без бурта'!F439</f>
        <v>72.11870 - 21</v>
      </c>
      <c r="AI439" s="56">
        <f>'[2]Изложницы без бурта'!G439</f>
        <v>0</v>
      </c>
      <c r="AJ439" s="56">
        <f>'[2]Изложницы без бурта'!H439</f>
        <v>0</v>
      </c>
      <c r="AK439" s="56">
        <f>'[2]Изложницы без бурта'!I439</f>
        <v>0</v>
      </c>
      <c r="AL439" s="56" t="s">
        <v>606</v>
      </c>
      <c r="AM439" s="56">
        <f>'[2]Изложницы без бурта'!K439</f>
        <v>0</v>
      </c>
    </row>
    <row r="440" spans="28:39" x14ac:dyDescent="0.25">
      <c r="AB440" s="253" t="str">
        <f t="shared" si="22"/>
        <v/>
      </c>
      <c r="AC440" s="254" t="str">
        <f>IF(COUNTIF(AD$78:AD440,AD440)=1,MAX(AC$78:AC439)+1,"")</f>
        <v/>
      </c>
      <c r="AD440" s="215">
        <f>'[2]Изложницы без бурта'!B440</f>
        <v>190</v>
      </c>
      <c r="AE440" s="215">
        <f>'[2]Изложницы без бурта'!C440</f>
        <v>265</v>
      </c>
      <c r="AF440" s="56">
        <f>'[2]Изложницы без бурта'!D440</f>
        <v>285</v>
      </c>
      <c r="AG440" s="56">
        <f>'[2]Изложницы без бурта'!E440</f>
        <v>320</v>
      </c>
      <c r="AH440" s="56" t="str">
        <f>'[2]Изложницы без бурта'!F440</f>
        <v>72.11870 - 21</v>
      </c>
      <c r="AI440" s="56">
        <f>'[2]Изложницы без бурта'!G440</f>
        <v>0</v>
      </c>
      <c r="AJ440" s="56">
        <f>'[2]Изложницы без бурта'!H440</f>
        <v>0</v>
      </c>
      <c r="AK440" s="56">
        <f>'[2]Изложницы без бурта'!I440</f>
        <v>0</v>
      </c>
      <c r="AL440" s="56" t="s">
        <v>606</v>
      </c>
      <c r="AM440" s="56">
        <f>'[2]Изложницы без бурта'!K440</f>
        <v>0</v>
      </c>
    </row>
    <row r="441" spans="28:39" x14ac:dyDescent="0.25">
      <c r="AB441" s="253" t="str">
        <f t="shared" ref="AB441:AB504" si="23">IF(MAX(AC441:AC1518)&lt;ROW(363:363),"",VLOOKUP(ROW(363:363),AC441:AD1518,2))</f>
        <v/>
      </c>
      <c r="AC441" s="254" t="str">
        <f>IF(COUNTIF(AD$78:AD441,AD441)=1,MAX(AC$78:AC440)+1,"")</f>
        <v/>
      </c>
      <c r="AD441" s="215">
        <f>'[2]Изложницы без бурта'!B441</f>
        <v>190</v>
      </c>
      <c r="AE441" s="215">
        <f>'[2]Изложницы без бурта'!C441</f>
        <v>265</v>
      </c>
      <c r="AF441" s="56">
        <f>'[2]Изложницы без бурта'!D441</f>
        <v>285</v>
      </c>
      <c r="AG441" s="56">
        <f>'[2]Изложницы без бурта'!E441</f>
        <v>320</v>
      </c>
      <c r="AH441" s="56" t="str">
        <f>'[2]Изложницы без бурта'!F441</f>
        <v>72.11870 - 21</v>
      </c>
      <c r="AI441" s="56">
        <f>'[2]Изложницы без бурта'!G441</f>
        <v>0</v>
      </c>
      <c r="AJ441" s="56">
        <f>'[2]Изложницы без бурта'!H441</f>
        <v>0</v>
      </c>
      <c r="AK441" s="56">
        <f>'[2]Изложницы без бурта'!I441</f>
        <v>0</v>
      </c>
      <c r="AL441" s="56" t="s">
        <v>606</v>
      </c>
      <c r="AM441" s="56">
        <f>'[2]Изложницы без бурта'!K441</f>
        <v>0</v>
      </c>
    </row>
    <row r="442" spans="28:39" x14ac:dyDescent="0.25">
      <c r="AB442" s="253" t="str">
        <f t="shared" si="23"/>
        <v/>
      </c>
      <c r="AC442" s="254" t="str">
        <f>IF(COUNTIF(AD$78:AD442,AD442)=1,MAX(AC$78:AC441)+1,"")</f>
        <v/>
      </c>
      <c r="AD442" s="215">
        <f>'[2]Изложницы без бурта'!B442</f>
        <v>190</v>
      </c>
      <c r="AE442" s="215">
        <f>'[2]Изложницы без бурта'!C442</f>
        <v>260</v>
      </c>
      <c r="AF442" s="56">
        <f>'[2]Изложницы без бурта'!D442</f>
        <v>285</v>
      </c>
      <c r="AG442" s="56">
        <f>'[2]Изложницы без бурта'!E442</f>
        <v>320</v>
      </c>
      <c r="AH442" s="56" t="str">
        <f>'[2]Изложницы без бурта'!F442</f>
        <v>72.11870 - 21</v>
      </c>
      <c r="AI442" s="56">
        <f>'[2]Изложницы без бурта'!G442</f>
        <v>0</v>
      </c>
      <c r="AJ442" s="56">
        <f>'[2]Изложницы без бурта'!H442</f>
        <v>0</v>
      </c>
      <c r="AK442" s="56">
        <f>'[2]Изложницы без бурта'!I442</f>
        <v>0</v>
      </c>
      <c r="AL442" s="56" t="s">
        <v>606</v>
      </c>
      <c r="AM442" s="56">
        <f>'[2]Изложницы без бурта'!K442</f>
        <v>0</v>
      </c>
    </row>
    <row r="443" spans="28:39" x14ac:dyDescent="0.25">
      <c r="AB443" s="253" t="str">
        <f t="shared" si="23"/>
        <v/>
      </c>
      <c r="AC443" s="254" t="str">
        <f>IF(COUNTIF(AD$78:AD443,AD443)=1,MAX(AC$78:AC442)+1,"")</f>
        <v/>
      </c>
      <c r="AD443" s="215">
        <f>'[2]Изложницы без бурта'!B443</f>
        <v>190</v>
      </c>
      <c r="AE443" s="215">
        <f>'[2]Изложницы без бурта'!C443</f>
        <v>260</v>
      </c>
      <c r="AF443" s="56">
        <f>'[2]Изложницы без бурта'!D443</f>
        <v>285</v>
      </c>
      <c r="AG443" s="56">
        <f>'[2]Изложницы без бурта'!E443</f>
        <v>320</v>
      </c>
      <c r="AH443" s="56" t="str">
        <f>'[2]Изложницы без бурта'!F443</f>
        <v>72.11870 - 21</v>
      </c>
      <c r="AI443" s="56">
        <f>'[2]Изложницы без бурта'!G443</f>
        <v>0</v>
      </c>
      <c r="AJ443" s="56">
        <f>'[2]Изложницы без бурта'!H443</f>
        <v>0</v>
      </c>
      <c r="AK443" s="56">
        <f>'[2]Изложницы без бурта'!I443</f>
        <v>0</v>
      </c>
      <c r="AL443" s="56" t="s">
        <v>606</v>
      </c>
      <c r="AM443" s="56">
        <f>'[2]Изложницы без бурта'!K443</f>
        <v>0</v>
      </c>
    </row>
    <row r="444" spans="28:39" x14ac:dyDescent="0.25">
      <c r="AB444" s="253" t="str">
        <f t="shared" si="23"/>
        <v/>
      </c>
      <c r="AC444" s="254" t="str">
        <f>IF(COUNTIF(AD$78:AD444,AD444)=1,MAX(AC$78:AC443)+1,"")</f>
        <v/>
      </c>
      <c r="AD444" s="215">
        <f>'[2]Изложницы без бурта'!B444</f>
        <v>190</v>
      </c>
      <c r="AE444" s="215">
        <f>'[2]Изложницы без бурта'!C444</f>
        <v>265</v>
      </c>
      <c r="AF444" s="56">
        <f>'[2]Изложницы без бурта'!D444</f>
        <v>285</v>
      </c>
      <c r="AG444" s="56">
        <f>'[2]Изложницы без бурта'!E444</f>
        <v>320</v>
      </c>
      <c r="AH444" s="56" t="str">
        <f>'[2]Изложницы без бурта'!F444</f>
        <v>72.11870 - 21</v>
      </c>
      <c r="AI444" s="56">
        <f>'[2]Изложницы без бурта'!G444</f>
        <v>0</v>
      </c>
      <c r="AJ444" s="56">
        <f>'[2]Изложницы без бурта'!H444</f>
        <v>0</v>
      </c>
      <c r="AK444" s="56">
        <f>'[2]Изложницы без бурта'!I444</f>
        <v>0</v>
      </c>
      <c r="AL444" s="56" t="s">
        <v>606</v>
      </c>
      <c r="AM444" s="56">
        <f>'[2]Изложницы без бурта'!K444</f>
        <v>0</v>
      </c>
    </row>
    <row r="445" spans="28:39" x14ac:dyDescent="0.25">
      <c r="AB445" s="253" t="str">
        <f t="shared" si="23"/>
        <v/>
      </c>
      <c r="AC445" s="254" t="str">
        <f>IF(COUNTIF(AD$78:AD445,AD445)=1,MAX(AC$78:AC444)+1,"")</f>
        <v/>
      </c>
      <c r="AD445" s="215">
        <f>'[2]Изложницы без бурта'!B445</f>
        <v>190</v>
      </c>
      <c r="AE445" s="215">
        <f>'[2]Изложницы без бурта'!C445</f>
        <v>265</v>
      </c>
      <c r="AF445" s="56">
        <f>'[2]Изложницы без бурта'!D445</f>
        <v>285</v>
      </c>
      <c r="AG445" s="56">
        <f>'[2]Изложницы без бурта'!E445</f>
        <v>320</v>
      </c>
      <c r="AH445" s="56" t="str">
        <f>'[2]Изложницы без бурта'!F445</f>
        <v>72.11870 - 21</v>
      </c>
      <c r="AI445" s="56">
        <f>'[2]Изложницы без бурта'!G445</f>
        <v>0</v>
      </c>
      <c r="AJ445" s="56">
        <f>'[2]Изложницы без бурта'!H445</f>
        <v>0</v>
      </c>
      <c r="AK445" s="56">
        <f>'[2]Изложницы без бурта'!I445</f>
        <v>0</v>
      </c>
      <c r="AL445" s="56" t="s">
        <v>606</v>
      </c>
      <c r="AM445" s="56">
        <f>'[2]Изложницы без бурта'!K445</f>
        <v>0</v>
      </c>
    </row>
    <row r="446" spans="28:39" x14ac:dyDescent="0.25">
      <c r="AB446" s="253" t="str">
        <f t="shared" si="23"/>
        <v/>
      </c>
      <c r="AC446" s="254" t="str">
        <f>IF(COUNTIF(AD$78:AD446,AD446)=1,MAX(AC$78:AC445)+1,"")</f>
        <v/>
      </c>
      <c r="AD446" s="215">
        <f>'[2]Изложницы без бурта'!B446</f>
        <v>190</v>
      </c>
      <c r="AE446" s="215">
        <f>'[2]Изложницы без бурта'!C446</f>
        <v>265</v>
      </c>
      <c r="AF446" s="56">
        <f>'[2]Изложницы без бурта'!D446</f>
        <v>285</v>
      </c>
      <c r="AG446" s="56">
        <f>'[2]Изложницы без бурта'!E446</f>
        <v>320</v>
      </c>
      <c r="AH446" s="56" t="str">
        <f>'[2]Изложницы без бурта'!F446</f>
        <v>72.11870 - 21</v>
      </c>
      <c r="AI446" s="56">
        <f>'[2]Изложницы без бурта'!G446</f>
        <v>0</v>
      </c>
      <c r="AJ446" s="56">
        <f>'[2]Изложницы без бурта'!H446</f>
        <v>0</v>
      </c>
      <c r="AK446" s="56">
        <f>'[2]Изложницы без бурта'!I446</f>
        <v>0</v>
      </c>
      <c r="AL446" s="56" t="s">
        <v>606</v>
      </c>
      <c r="AM446" s="56">
        <f>'[2]Изложницы без бурта'!K446</f>
        <v>0</v>
      </c>
    </row>
    <row r="447" spans="28:39" x14ac:dyDescent="0.25">
      <c r="AB447" s="253" t="str">
        <f t="shared" si="23"/>
        <v/>
      </c>
      <c r="AC447" s="254" t="str">
        <f>IF(COUNTIF(AD$78:AD447,AD447)=1,MAX(AC$78:AC446)+1,"")</f>
        <v/>
      </c>
      <c r="AD447" s="215">
        <f>'[2]Изложницы без бурта'!B447</f>
        <v>190</v>
      </c>
      <c r="AE447" s="215">
        <f>'[2]Изложницы без бурта'!C447</f>
        <v>260</v>
      </c>
      <c r="AF447" s="56">
        <f>'[2]Изложницы без бурта'!D447</f>
        <v>285</v>
      </c>
      <c r="AG447" s="56">
        <f>'[2]Изложницы без бурта'!E447</f>
        <v>320</v>
      </c>
      <c r="AH447" s="56" t="str">
        <f>'[2]Изложницы без бурта'!F447</f>
        <v>72.11870 - 21</v>
      </c>
      <c r="AI447" s="56">
        <f>'[2]Изложницы без бурта'!G447</f>
        <v>0</v>
      </c>
      <c r="AJ447" s="56">
        <f>'[2]Изложницы без бурта'!H447</f>
        <v>0</v>
      </c>
      <c r="AK447" s="56">
        <f>'[2]Изложницы без бурта'!I447</f>
        <v>0</v>
      </c>
      <c r="AL447" s="56" t="s">
        <v>606</v>
      </c>
      <c r="AM447" s="56">
        <f>'[2]Изложницы без бурта'!K447</f>
        <v>0</v>
      </c>
    </row>
    <row r="448" spans="28:39" x14ac:dyDescent="0.25">
      <c r="AB448" s="253" t="str">
        <f t="shared" si="23"/>
        <v/>
      </c>
      <c r="AC448" s="254" t="str">
        <f>IF(COUNTIF(AD$78:AD448,AD448)=1,MAX(AC$78:AC447)+1,"")</f>
        <v/>
      </c>
      <c r="AD448" s="215">
        <f>'[2]Изложницы без бурта'!B448</f>
        <v>190</v>
      </c>
      <c r="AE448" s="215">
        <f>'[2]Изложницы без бурта'!C448</f>
        <v>265</v>
      </c>
      <c r="AF448" s="56">
        <f>'[2]Изложницы без бурта'!D448</f>
        <v>285</v>
      </c>
      <c r="AG448" s="56">
        <f>'[2]Изложницы без бурта'!E448</f>
        <v>320</v>
      </c>
      <c r="AH448" s="56" t="str">
        <f>'[2]Изложницы без бурта'!F448</f>
        <v>72.11870 - 21</v>
      </c>
      <c r="AI448" s="56">
        <f>'[2]Изложницы без бурта'!G448</f>
        <v>0</v>
      </c>
      <c r="AJ448" s="56">
        <f>'[2]Изложницы без бурта'!H448</f>
        <v>0</v>
      </c>
      <c r="AK448" s="56">
        <f>'[2]Изложницы без бурта'!I448</f>
        <v>0</v>
      </c>
      <c r="AL448" s="56" t="s">
        <v>606</v>
      </c>
      <c r="AM448" s="56">
        <f>'[2]Изложницы без бурта'!K448</f>
        <v>0</v>
      </c>
    </row>
    <row r="449" spans="28:39" x14ac:dyDescent="0.25">
      <c r="AB449" s="253" t="str">
        <f t="shared" si="23"/>
        <v/>
      </c>
      <c r="AC449" s="254" t="str">
        <f>IF(COUNTIF(AD$78:AD449,AD449)=1,MAX(AC$78:AC448)+1,"")</f>
        <v/>
      </c>
      <c r="AD449" s="215">
        <f>'[2]Изложницы без бурта'!B449</f>
        <v>190</v>
      </c>
      <c r="AE449" s="215">
        <f>'[2]Изложницы без бурта'!C449</f>
        <v>265</v>
      </c>
      <c r="AF449" s="56">
        <f>'[2]Изложницы без бурта'!D449</f>
        <v>285</v>
      </c>
      <c r="AG449" s="56">
        <f>'[2]Изложницы без бурта'!E449</f>
        <v>320</v>
      </c>
      <c r="AH449" s="56" t="str">
        <f>'[2]Изложницы без бурта'!F449</f>
        <v>72.11870 - 21</v>
      </c>
      <c r="AI449" s="56">
        <f>'[2]Изложницы без бурта'!G449</f>
        <v>0</v>
      </c>
      <c r="AJ449" s="56">
        <f>'[2]Изложницы без бурта'!H449</f>
        <v>0</v>
      </c>
      <c r="AK449" s="56">
        <f>'[2]Изложницы без бурта'!I449</f>
        <v>0</v>
      </c>
      <c r="AL449" s="56" t="s">
        <v>606</v>
      </c>
      <c r="AM449" s="56">
        <f>'[2]Изложницы без бурта'!K449</f>
        <v>0</v>
      </c>
    </row>
    <row r="450" spans="28:39" x14ac:dyDescent="0.25">
      <c r="AB450" s="253" t="str">
        <f t="shared" si="23"/>
        <v/>
      </c>
      <c r="AC450" s="254" t="str">
        <f>IF(COUNTIF(AD$78:AD450,AD450)=1,MAX(AC$78:AC449)+1,"")</f>
        <v/>
      </c>
      <c r="AD450" s="215">
        <f>'[2]Изложницы без бурта'!B450</f>
        <v>190</v>
      </c>
      <c r="AE450" s="215">
        <f>'[2]Изложницы без бурта'!C450</f>
        <v>265</v>
      </c>
      <c r="AF450" s="56">
        <f>'[2]Изложницы без бурта'!D450</f>
        <v>285</v>
      </c>
      <c r="AG450" s="56">
        <f>'[2]Изложницы без бурта'!E450</f>
        <v>320</v>
      </c>
      <c r="AH450" s="56" t="str">
        <f>'[2]Изложницы без бурта'!F450</f>
        <v>72.11870 - 21</v>
      </c>
      <c r="AI450" s="56">
        <f>'[2]Изложницы без бурта'!G450</f>
        <v>0</v>
      </c>
      <c r="AJ450" s="56">
        <f>'[2]Изложницы без бурта'!H450</f>
        <v>0</v>
      </c>
      <c r="AK450" s="56">
        <f>'[2]Изложницы без бурта'!I450</f>
        <v>0</v>
      </c>
      <c r="AL450" s="56" t="s">
        <v>606</v>
      </c>
      <c r="AM450" s="56">
        <f>'[2]Изложницы без бурта'!K450</f>
        <v>0</v>
      </c>
    </row>
    <row r="451" spans="28:39" x14ac:dyDescent="0.25">
      <c r="AB451" s="253" t="str">
        <f t="shared" si="23"/>
        <v/>
      </c>
      <c r="AC451" s="254" t="str">
        <f>IF(COUNTIF(AD$78:AD451,AD451)=1,MAX(AC$78:AC450)+1,"")</f>
        <v/>
      </c>
      <c r="AD451" s="215">
        <f>'[2]Изложницы без бурта'!B451</f>
        <v>190</v>
      </c>
      <c r="AE451" s="215">
        <f>'[2]Изложницы без бурта'!C451</f>
        <v>265</v>
      </c>
      <c r="AF451" s="56">
        <f>'[2]Изложницы без бурта'!D451</f>
        <v>285</v>
      </c>
      <c r="AG451" s="56">
        <f>'[2]Изложницы без бурта'!E451</f>
        <v>320</v>
      </c>
      <c r="AH451" s="56" t="str">
        <f>'[2]Изложницы без бурта'!F451</f>
        <v>72.11870 - 21</v>
      </c>
      <c r="AI451" s="56">
        <f>'[2]Изложницы без бурта'!G451</f>
        <v>0</v>
      </c>
      <c r="AJ451" s="56">
        <f>'[2]Изложницы без бурта'!H451</f>
        <v>0</v>
      </c>
      <c r="AK451" s="56">
        <f>'[2]Изложницы без бурта'!I451</f>
        <v>0</v>
      </c>
      <c r="AL451" s="56" t="s">
        <v>606</v>
      </c>
      <c r="AM451" s="56">
        <f>'[2]Изложницы без бурта'!K451</f>
        <v>0</v>
      </c>
    </row>
    <row r="452" spans="28:39" x14ac:dyDescent="0.25">
      <c r="AB452" s="253" t="str">
        <f t="shared" si="23"/>
        <v/>
      </c>
      <c r="AC452" s="254" t="str">
        <f>IF(COUNTIF(AD$78:AD452,AD452)=1,MAX(AC$78:AC451)+1,"")</f>
        <v/>
      </c>
      <c r="AD452" s="215">
        <f>'[2]Изложницы без бурта'!B452</f>
        <v>190</v>
      </c>
      <c r="AE452" s="215">
        <f>'[2]Изложницы без бурта'!C452</f>
        <v>263</v>
      </c>
      <c r="AF452" s="56">
        <f>'[2]Изложницы без бурта'!D452</f>
        <v>285</v>
      </c>
      <c r="AG452" s="56">
        <f>'[2]Изложницы без бурта'!E452</f>
        <v>320</v>
      </c>
      <c r="AH452" s="56" t="str">
        <f>'[2]Изложницы без бурта'!F452</f>
        <v>72.11870 - 21</v>
      </c>
      <c r="AI452" s="56">
        <f>'[2]Изложницы без бурта'!G452</f>
        <v>0</v>
      </c>
      <c r="AJ452" s="56">
        <f>'[2]Изложницы без бурта'!H452</f>
        <v>0</v>
      </c>
      <c r="AK452" s="56">
        <f>'[2]Изложницы без бурта'!I452</f>
        <v>0</v>
      </c>
      <c r="AL452" s="56" t="s">
        <v>606</v>
      </c>
      <c r="AM452" s="56">
        <f>'[2]Изложницы без бурта'!K452</f>
        <v>0</v>
      </c>
    </row>
    <row r="453" spans="28:39" x14ac:dyDescent="0.25">
      <c r="AB453" s="253" t="str">
        <f t="shared" si="23"/>
        <v/>
      </c>
      <c r="AC453" s="254" t="str">
        <f>IF(COUNTIF(AD$78:AD453,AD453)=1,MAX(AC$78:AC452)+1,"")</f>
        <v/>
      </c>
      <c r="AD453" s="215">
        <f>'[2]Изложницы без бурта'!B453</f>
        <v>190</v>
      </c>
      <c r="AE453" s="215">
        <f>'[2]Изложницы без бурта'!C453</f>
        <v>265</v>
      </c>
      <c r="AF453" s="56">
        <f>'[2]Изложницы без бурта'!D453</f>
        <v>285</v>
      </c>
      <c r="AG453" s="56">
        <f>'[2]Изложницы без бурта'!E453</f>
        <v>320</v>
      </c>
      <c r="AH453" s="56" t="str">
        <f>'[2]Изложницы без бурта'!F453</f>
        <v>72.11870 - 21</v>
      </c>
      <c r="AI453" s="56">
        <f>'[2]Изложницы без бурта'!G453</f>
        <v>0</v>
      </c>
      <c r="AJ453" s="56">
        <f>'[2]Изложницы без бурта'!H453</f>
        <v>0</v>
      </c>
      <c r="AK453" s="56">
        <f>'[2]Изложницы без бурта'!I453</f>
        <v>0</v>
      </c>
      <c r="AL453" s="56" t="s">
        <v>606</v>
      </c>
      <c r="AM453" s="56">
        <f>'[2]Изложницы без бурта'!K453</f>
        <v>0</v>
      </c>
    </row>
    <row r="454" spans="28:39" x14ac:dyDescent="0.25">
      <c r="AB454" s="253" t="str">
        <f t="shared" si="23"/>
        <v/>
      </c>
      <c r="AC454" s="254" t="str">
        <f>IF(COUNTIF(AD$78:AD454,AD454)=1,MAX(AC$78:AC453)+1,"")</f>
        <v/>
      </c>
      <c r="AD454" s="215">
        <f>'[2]Изложницы без бурта'!B454</f>
        <v>190</v>
      </c>
      <c r="AE454" s="215">
        <f>'[2]Изложницы без бурта'!C454</f>
        <v>263</v>
      </c>
      <c r="AF454" s="56">
        <f>'[2]Изложницы без бурта'!D454</f>
        <v>285</v>
      </c>
      <c r="AG454" s="56">
        <f>'[2]Изложницы без бурта'!E454</f>
        <v>320</v>
      </c>
      <c r="AH454" s="56" t="str">
        <f>'[2]Изложницы без бурта'!F454</f>
        <v>72.11870 - 21</v>
      </c>
      <c r="AI454" s="56">
        <f>'[2]Изложницы без бурта'!G454</f>
        <v>0</v>
      </c>
      <c r="AJ454" s="56">
        <f>'[2]Изложницы без бурта'!H454</f>
        <v>0</v>
      </c>
      <c r="AK454" s="56">
        <f>'[2]Изложницы без бурта'!I454</f>
        <v>0</v>
      </c>
      <c r="AL454" s="56" t="s">
        <v>606</v>
      </c>
      <c r="AM454" s="56">
        <f>'[2]Изложницы без бурта'!K454</f>
        <v>0</v>
      </c>
    </row>
    <row r="455" spans="28:39" x14ac:dyDescent="0.25">
      <c r="AB455" s="253" t="str">
        <f t="shared" si="23"/>
        <v/>
      </c>
      <c r="AC455" s="254" t="str">
        <f>IF(COUNTIF(AD$78:AD455,AD455)=1,MAX(AC$78:AC454)+1,"")</f>
        <v/>
      </c>
      <c r="AD455" s="215">
        <f>'[2]Изложницы без бурта'!B455</f>
        <v>190</v>
      </c>
      <c r="AE455" s="215">
        <f>'[2]Изложницы без бурта'!C455</f>
        <v>213</v>
      </c>
      <c r="AF455" s="56">
        <f>'[2]Изложницы без бурта'!D455</f>
        <v>285</v>
      </c>
      <c r="AG455" s="56">
        <f>'[2]Изложницы без бурта'!E455</f>
        <v>320</v>
      </c>
      <c r="AH455" s="56" t="str">
        <f>'[2]Изложницы без бурта'!F455</f>
        <v>10.247619 - 3</v>
      </c>
      <c r="AI455" s="56">
        <f>'[2]Изложницы без бурта'!G455</f>
        <v>7260016</v>
      </c>
      <c r="AJ455" s="56">
        <f>'[2]Изложницы без бурта'!H455</f>
        <v>0</v>
      </c>
      <c r="AK455" s="56">
        <f>'[2]Изложницы без бурта'!I455</f>
        <v>0</v>
      </c>
      <c r="AL455" s="56" t="s">
        <v>606</v>
      </c>
      <c r="AM455" s="56">
        <f>'[2]Изложницы без бурта'!K455</f>
        <v>0</v>
      </c>
    </row>
    <row r="456" spans="28:39" x14ac:dyDescent="0.25">
      <c r="AB456" s="253" t="str">
        <f t="shared" si="23"/>
        <v/>
      </c>
      <c r="AC456" s="254" t="str">
        <f>IF(COUNTIF(AD$78:AD456,AD456)=1,MAX(AC$78:AC455)+1,"")</f>
        <v/>
      </c>
      <c r="AD456" s="215">
        <f>'[2]Изложницы без бурта'!B456</f>
        <v>190</v>
      </c>
      <c r="AE456" s="215">
        <f>'[2]Изложницы без бурта'!C456</f>
        <v>320</v>
      </c>
      <c r="AF456" s="56">
        <f>'[2]Изложницы без бурта'!D456</f>
        <v>285</v>
      </c>
      <c r="AG456" s="56">
        <f>'[2]Изложницы без бурта'!E456</f>
        <v>320</v>
      </c>
      <c r="AH456" s="56" t="str">
        <f>'[2]Изложницы без бурта'!F456</f>
        <v>72.11871 - 21</v>
      </c>
      <c r="AI456" s="56">
        <f>'[2]Изложницы без бурта'!G456</f>
        <v>0</v>
      </c>
      <c r="AJ456" s="56">
        <f>'[2]Изложницы без бурта'!H456</f>
        <v>0</v>
      </c>
      <c r="AK456" s="56">
        <f>'[2]Изложницы без бурта'!I456</f>
        <v>0</v>
      </c>
      <c r="AL456" s="56" t="s">
        <v>606</v>
      </c>
      <c r="AM456" s="56">
        <f>'[2]Изложницы без бурта'!K456</f>
        <v>0</v>
      </c>
    </row>
    <row r="457" spans="28:39" x14ac:dyDescent="0.25">
      <c r="AB457" s="253" t="str">
        <f t="shared" si="23"/>
        <v/>
      </c>
      <c r="AC457" s="254" t="str">
        <f>IF(COUNTIF(AD$78:AD457,AD457)=1,MAX(AC$78:AC456)+1,"")</f>
        <v/>
      </c>
      <c r="AD457" s="215">
        <f>'[2]Изложницы без бурта'!B457</f>
        <v>190</v>
      </c>
      <c r="AE457" s="215">
        <f>'[2]Изложницы без бурта'!C457</f>
        <v>265</v>
      </c>
      <c r="AF457" s="56">
        <f>'[2]Изложницы без бурта'!D457</f>
        <v>285</v>
      </c>
      <c r="AG457" s="56">
        <f>'[2]Изложницы без бурта'!E457</f>
        <v>320</v>
      </c>
      <c r="AH457" s="56" t="str">
        <f>'[2]Изложницы без бурта'!F457</f>
        <v>72.11870 - 21</v>
      </c>
      <c r="AI457" s="56">
        <f>'[2]Изложницы без бурта'!G457</f>
        <v>0</v>
      </c>
      <c r="AJ457" s="56">
        <f>'[2]Изложницы без бурта'!H457</f>
        <v>0</v>
      </c>
      <c r="AK457" s="56">
        <f>'[2]Изложницы без бурта'!I457</f>
        <v>0</v>
      </c>
      <c r="AL457" s="56" t="s">
        <v>606</v>
      </c>
      <c r="AM457" s="56">
        <f>'[2]Изложницы без бурта'!K457</f>
        <v>0</v>
      </c>
    </row>
    <row r="458" spans="28:39" x14ac:dyDescent="0.25">
      <c r="AB458" s="253" t="str">
        <f t="shared" si="23"/>
        <v/>
      </c>
      <c r="AC458" s="254" t="str">
        <f>IF(COUNTIF(AD$78:AD458,AD458)=1,MAX(AC$78:AC457)+1,"")</f>
        <v/>
      </c>
      <c r="AD458" s="215">
        <f>'[2]Изложницы без бурта'!B458</f>
        <v>190</v>
      </c>
      <c r="AE458" s="215">
        <f>'[2]Изложницы без бурта'!C458</f>
        <v>265</v>
      </c>
      <c r="AF458" s="56">
        <f>'[2]Изложницы без бурта'!D458</f>
        <v>285</v>
      </c>
      <c r="AG458" s="56">
        <f>'[2]Изложницы без бурта'!E458</f>
        <v>320</v>
      </c>
      <c r="AH458" s="56" t="str">
        <f>'[2]Изложницы без бурта'!F458</f>
        <v>72.11870 - 21</v>
      </c>
      <c r="AI458" s="56">
        <f>'[2]Изложницы без бурта'!G458</f>
        <v>0</v>
      </c>
      <c r="AJ458" s="56">
        <f>'[2]Изложницы без бурта'!H458</f>
        <v>0</v>
      </c>
      <c r="AK458" s="56">
        <f>'[2]Изложницы без бурта'!I458</f>
        <v>0</v>
      </c>
      <c r="AL458" s="56" t="s">
        <v>606</v>
      </c>
      <c r="AM458" s="56">
        <f>'[2]Изложницы без бурта'!K458</f>
        <v>0</v>
      </c>
    </row>
    <row r="459" spans="28:39" x14ac:dyDescent="0.25">
      <c r="AB459" s="253" t="str">
        <f t="shared" si="23"/>
        <v/>
      </c>
      <c r="AC459" s="254" t="str">
        <f>IF(COUNTIF(AD$78:AD459,AD459)=1,MAX(AC$78:AC458)+1,"")</f>
        <v/>
      </c>
      <c r="AD459" s="215">
        <f>'[2]Изложницы без бурта'!B459</f>
        <v>190</v>
      </c>
      <c r="AE459" s="215">
        <f>'[2]Изложницы без бурта'!C459</f>
        <v>265</v>
      </c>
      <c r="AF459" s="56">
        <f>'[2]Изложницы без бурта'!D459</f>
        <v>285</v>
      </c>
      <c r="AG459" s="56">
        <f>'[2]Изложницы без бурта'!E459</f>
        <v>320</v>
      </c>
      <c r="AH459" s="56" t="str">
        <f>'[2]Изложницы без бурта'!F459</f>
        <v>72.11870 - 21</v>
      </c>
      <c r="AI459" s="56">
        <f>'[2]Изложницы без бурта'!G459</f>
        <v>0</v>
      </c>
      <c r="AJ459" s="56">
        <f>'[2]Изложницы без бурта'!H459</f>
        <v>0</v>
      </c>
      <c r="AK459" s="56">
        <f>'[2]Изложницы без бурта'!I459</f>
        <v>0</v>
      </c>
      <c r="AL459" s="56" t="s">
        <v>606</v>
      </c>
      <c r="AM459" s="56">
        <f>'[2]Изложницы без бурта'!K459</f>
        <v>0</v>
      </c>
    </row>
    <row r="460" spans="28:39" x14ac:dyDescent="0.25">
      <c r="AB460" s="253" t="str">
        <f t="shared" si="23"/>
        <v/>
      </c>
      <c r="AC460" s="254" t="str">
        <f>IF(COUNTIF(AD$78:AD460,AD460)=1,MAX(AC$78:AC459)+1,"")</f>
        <v/>
      </c>
      <c r="AD460" s="215">
        <f>'[2]Изложницы без бурта'!B460</f>
        <v>190</v>
      </c>
      <c r="AE460" s="215">
        <f>'[2]Изложницы без бурта'!C460</f>
        <v>265</v>
      </c>
      <c r="AF460" s="56">
        <f>'[2]Изложницы без бурта'!D460</f>
        <v>285</v>
      </c>
      <c r="AG460" s="56">
        <f>'[2]Изложницы без бурта'!E460</f>
        <v>320</v>
      </c>
      <c r="AH460" s="56" t="str">
        <f>'[2]Изложницы без бурта'!F460</f>
        <v>72.11870 - 21</v>
      </c>
      <c r="AI460" s="56">
        <f>'[2]Изложницы без бурта'!G460</f>
        <v>0</v>
      </c>
      <c r="AJ460" s="56">
        <f>'[2]Изложницы без бурта'!H460</f>
        <v>0</v>
      </c>
      <c r="AK460" s="56">
        <f>'[2]Изложницы без бурта'!I460</f>
        <v>0</v>
      </c>
      <c r="AL460" s="56" t="s">
        <v>606</v>
      </c>
      <c r="AM460" s="56">
        <f>'[2]Изложницы без бурта'!K460</f>
        <v>0</v>
      </c>
    </row>
    <row r="461" spans="28:39" x14ac:dyDescent="0.25">
      <c r="AB461" s="253" t="str">
        <f t="shared" si="23"/>
        <v/>
      </c>
      <c r="AC461" s="254" t="str">
        <f>IF(COUNTIF(AD$78:AD461,AD461)=1,MAX(AC$78:AC460)+1,"")</f>
        <v/>
      </c>
      <c r="AD461" s="215">
        <f>'[2]Изложницы без бурта'!B461</f>
        <v>190</v>
      </c>
      <c r="AE461" s="215">
        <f>'[2]Изложницы без бурта'!C461</f>
        <v>265</v>
      </c>
      <c r="AF461" s="56">
        <f>'[2]Изложницы без бурта'!D461</f>
        <v>285</v>
      </c>
      <c r="AG461" s="56">
        <f>'[2]Изложницы без бурта'!E461</f>
        <v>320</v>
      </c>
      <c r="AH461" s="56" t="str">
        <f>'[2]Изложницы без бурта'!F461</f>
        <v>72.11870 - 21</v>
      </c>
      <c r="AI461" s="56">
        <f>'[2]Изложницы без бурта'!G461</f>
        <v>0</v>
      </c>
      <c r="AJ461" s="56">
        <f>'[2]Изложницы без бурта'!H461</f>
        <v>0</v>
      </c>
      <c r="AK461" s="56">
        <f>'[2]Изложницы без бурта'!I461</f>
        <v>0</v>
      </c>
      <c r="AL461" s="56" t="s">
        <v>606</v>
      </c>
      <c r="AM461" s="56">
        <f>'[2]Изложницы без бурта'!K461</f>
        <v>0</v>
      </c>
    </row>
    <row r="462" spans="28:39" x14ac:dyDescent="0.25">
      <c r="AB462" s="253" t="str">
        <f t="shared" si="23"/>
        <v/>
      </c>
      <c r="AC462" s="254" t="str">
        <f>IF(COUNTIF(AD$78:AD462,AD462)=1,MAX(AC$78:AC461)+1,"")</f>
        <v/>
      </c>
      <c r="AD462" s="215">
        <f>'[2]Изложницы без бурта'!B462</f>
        <v>190</v>
      </c>
      <c r="AE462" s="215">
        <f>'[2]Изложницы без бурта'!C462</f>
        <v>265</v>
      </c>
      <c r="AF462" s="56">
        <f>'[2]Изложницы без бурта'!D462</f>
        <v>285</v>
      </c>
      <c r="AG462" s="56">
        <f>'[2]Изложницы без бурта'!E462</f>
        <v>320</v>
      </c>
      <c r="AH462" s="56" t="str">
        <f>'[2]Изложницы без бурта'!F462</f>
        <v>72.11870 - 21</v>
      </c>
      <c r="AI462" s="56">
        <f>'[2]Изложницы без бурта'!G462</f>
        <v>0</v>
      </c>
      <c r="AJ462" s="56">
        <f>'[2]Изложницы без бурта'!H462</f>
        <v>0</v>
      </c>
      <c r="AK462" s="56">
        <f>'[2]Изложницы без бурта'!I462</f>
        <v>0</v>
      </c>
      <c r="AL462" s="56" t="s">
        <v>606</v>
      </c>
      <c r="AM462" s="56">
        <f>'[2]Изложницы без бурта'!K462</f>
        <v>0</v>
      </c>
    </row>
    <row r="463" spans="28:39" x14ac:dyDescent="0.25">
      <c r="AB463" s="253" t="str">
        <f t="shared" si="23"/>
        <v/>
      </c>
      <c r="AC463" s="254" t="str">
        <f>IF(COUNTIF(AD$78:AD463,AD463)=1,MAX(AC$78:AC462)+1,"")</f>
        <v/>
      </c>
      <c r="AD463" s="215">
        <f>'[2]Изложницы без бурта'!B463</f>
        <v>190</v>
      </c>
      <c r="AE463" s="215">
        <f>'[2]Изложницы без бурта'!C463</f>
        <v>265</v>
      </c>
      <c r="AF463" s="56">
        <f>'[2]Изложницы без бурта'!D463</f>
        <v>285</v>
      </c>
      <c r="AG463" s="56">
        <f>'[2]Изложницы без бурта'!E463</f>
        <v>320</v>
      </c>
      <c r="AH463" s="56" t="str">
        <f>'[2]Изложницы без бурта'!F463</f>
        <v>72.11870 - 21</v>
      </c>
      <c r="AI463" s="56">
        <f>'[2]Изложницы без бурта'!G463</f>
        <v>0</v>
      </c>
      <c r="AJ463" s="56">
        <f>'[2]Изложницы без бурта'!H463</f>
        <v>0</v>
      </c>
      <c r="AK463" s="56">
        <f>'[2]Изложницы без бурта'!I463</f>
        <v>0</v>
      </c>
      <c r="AL463" s="56" t="s">
        <v>606</v>
      </c>
      <c r="AM463" s="56">
        <f>'[2]Изложницы без бурта'!K463</f>
        <v>0</v>
      </c>
    </row>
    <row r="464" spans="28:39" x14ac:dyDescent="0.25">
      <c r="AB464" s="253" t="str">
        <f t="shared" si="23"/>
        <v/>
      </c>
      <c r="AC464" s="254" t="str">
        <f>IF(COUNTIF(AD$78:AD464,AD464)=1,MAX(AC$78:AC463)+1,"")</f>
        <v/>
      </c>
      <c r="AD464" s="215">
        <f>'[2]Изложницы без бурта'!B464</f>
        <v>190</v>
      </c>
      <c r="AE464" s="215">
        <f>'[2]Изложницы без бурта'!C464</f>
        <v>265</v>
      </c>
      <c r="AF464" s="56">
        <f>'[2]Изложницы без бурта'!D464</f>
        <v>285</v>
      </c>
      <c r="AG464" s="56">
        <f>'[2]Изложницы без бурта'!E464</f>
        <v>320</v>
      </c>
      <c r="AH464" s="56" t="str">
        <f>'[2]Изложницы без бурта'!F464</f>
        <v>72.11870 - 21</v>
      </c>
      <c r="AI464" s="56">
        <f>'[2]Изложницы без бурта'!G464</f>
        <v>0</v>
      </c>
      <c r="AJ464" s="56">
        <f>'[2]Изложницы без бурта'!H464</f>
        <v>0</v>
      </c>
      <c r="AK464" s="56">
        <f>'[2]Изложницы без бурта'!I464</f>
        <v>0</v>
      </c>
      <c r="AL464" s="56" t="s">
        <v>606</v>
      </c>
      <c r="AM464" s="56">
        <f>'[2]Изложницы без бурта'!K464</f>
        <v>0</v>
      </c>
    </row>
    <row r="465" spans="28:39" x14ac:dyDescent="0.25">
      <c r="AB465" s="253" t="str">
        <f t="shared" si="23"/>
        <v/>
      </c>
      <c r="AC465" s="254">
        <f>IF(COUNTIF(AD$78:AD465,AD465)=1,MAX(AC$78:AC464)+1,"")</f>
        <v>42</v>
      </c>
      <c r="AD465" s="215">
        <f>'[2]Изложницы без бурта'!B465</f>
        <v>192.5</v>
      </c>
      <c r="AE465" s="215">
        <f>'[2]Изложницы без бурта'!C465</f>
        <v>265</v>
      </c>
      <c r="AF465" s="56">
        <f>'[2]Изложницы без бурта'!D465</f>
        <v>285</v>
      </c>
      <c r="AG465" s="56">
        <f>'[2]Изложницы без бурта'!E465</f>
        <v>320</v>
      </c>
      <c r="AH465" s="56" t="str">
        <f>'[2]Изложницы без бурта'!F465</f>
        <v>72.11870 - 22</v>
      </c>
      <c r="AI465" s="56">
        <f>'[2]Изложницы без бурта'!G465</f>
        <v>0</v>
      </c>
      <c r="AJ465" s="56">
        <f>'[2]Изложницы без бурта'!H465</f>
        <v>0</v>
      </c>
      <c r="AK465" s="56">
        <f>'[2]Изложницы без бурта'!I465</f>
        <v>0</v>
      </c>
      <c r="AL465" s="56" t="s">
        <v>607</v>
      </c>
      <c r="AM465" s="56">
        <f>'[2]Изложницы без бурта'!K465</f>
        <v>0</v>
      </c>
    </row>
    <row r="466" spans="28:39" x14ac:dyDescent="0.25">
      <c r="AB466" s="253" t="str">
        <f t="shared" si="23"/>
        <v/>
      </c>
      <c r="AC466" s="254" t="str">
        <f>IF(COUNTIF(AD$78:AD466,AD466)=1,MAX(AC$78:AC465)+1,"")</f>
        <v/>
      </c>
      <c r="AD466" s="215">
        <f>'[2]Изложницы без бурта'!B466</f>
        <v>192.5</v>
      </c>
      <c r="AE466" s="215">
        <f>'[2]Изложницы без бурта'!C466</f>
        <v>265</v>
      </c>
      <c r="AF466" s="56">
        <f>'[2]Изложницы без бурта'!D466</f>
        <v>285</v>
      </c>
      <c r="AG466" s="56">
        <f>'[2]Изложницы без бурта'!E466</f>
        <v>320</v>
      </c>
      <c r="AH466" s="56" t="str">
        <f>'[2]Изложницы без бурта'!F466</f>
        <v>72.11870 - 22</v>
      </c>
      <c r="AI466" s="56">
        <f>'[2]Изложницы без бурта'!G466</f>
        <v>0</v>
      </c>
      <c r="AJ466" s="56">
        <f>'[2]Изложницы без бурта'!H466</f>
        <v>0</v>
      </c>
      <c r="AK466" s="56">
        <f>'[2]Изложницы без бурта'!I466</f>
        <v>0</v>
      </c>
      <c r="AL466" s="56" t="s">
        <v>607</v>
      </c>
      <c r="AM466" s="56">
        <f>'[2]Изложницы без бурта'!K466</f>
        <v>0</v>
      </c>
    </row>
    <row r="467" spans="28:39" x14ac:dyDescent="0.25">
      <c r="AB467" s="253" t="str">
        <f t="shared" si="23"/>
        <v/>
      </c>
      <c r="AC467" s="254" t="str">
        <f>IF(COUNTIF(AD$78:AD467,AD467)=1,MAX(AC$78:AC466)+1,"")</f>
        <v/>
      </c>
      <c r="AD467" s="215">
        <f>'[2]Изложницы без бурта'!B467</f>
        <v>192.5</v>
      </c>
      <c r="AE467" s="215">
        <f>'[2]Изложницы без бурта'!C467</f>
        <v>263</v>
      </c>
      <c r="AF467" s="56">
        <f>'[2]Изложницы без бурта'!D467</f>
        <v>285</v>
      </c>
      <c r="AG467" s="56">
        <f>'[2]Изложницы без бурта'!E467</f>
        <v>320</v>
      </c>
      <c r="AH467" s="56" t="str">
        <f>'[2]Изложницы без бурта'!F467</f>
        <v>72.11870 - 22</v>
      </c>
      <c r="AI467" s="56">
        <f>'[2]Изложницы без бурта'!G467</f>
        <v>0</v>
      </c>
      <c r="AJ467" s="56">
        <f>'[2]Изложницы без бурта'!H467</f>
        <v>0</v>
      </c>
      <c r="AK467" s="56">
        <f>'[2]Изложницы без бурта'!I467</f>
        <v>0</v>
      </c>
      <c r="AL467" s="56" t="s">
        <v>607</v>
      </c>
      <c r="AM467" s="56">
        <f>'[2]Изложницы без бурта'!K467</f>
        <v>0</v>
      </c>
    </row>
    <row r="468" spans="28:39" x14ac:dyDescent="0.25">
      <c r="AB468" s="253" t="str">
        <f t="shared" si="23"/>
        <v/>
      </c>
      <c r="AC468" s="254" t="str">
        <f>IF(COUNTIF(AD$78:AD468,AD468)=1,MAX(AC$78:AC467)+1,"")</f>
        <v/>
      </c>
      <c r="AD468" s="215">
        <f>'[2]Изложницы без бурта'!B468</f>
        <v>192.5</v>
      </c>
      <c r="AE468" s="215">
        <f>'[2]Изложницы без бурта'!C468</f>
        <v>260</v>
      </c>
      <c r="AF468" s="56">
        <f>'[2]Изложницы без бурта'!D468</f>
        <v>285</v>
      </c>
      <c r="AG468" s="56">
        <f>'[2]Изложницы без бурта'!E468</f>
        <v>320</v>
      </c>
      <c r="AH468" s="56" t="str">
        <f>'[2]Изложницы без бурта'!F468</f>
        <v>72.11870 - 22</v>
      </c>
      <c r="AI468" s="56">
        <f>'[2]Изложницы без бурта'!G468</f>
        <v>0</v>
      </c>
      <c r="AJ468" s="56">
        <f>'[2]Изложницы без бурта'!H468</f>
        <v>0</v>
      </c>
      <c r="AK468" s="56">
        <f>'[2]Изложницы без бурта'!I468</f>
        <v>0</v>
      </c>
      <c r="AL468" s="56" t="s">
        <v>607</v>
      </c>
      <c r="AM468" s="56">
        <f>'[2]Изложницы без бурта'!K468</f>
        <v>0</v>
      </c>
    </row>
    <row r="469" spans="28:39" x14ac:dyDescent="0.25">
      <c r="AB469" s="253" t="str">
        <f t="shared" si="23"/>
        <v/>
      </c>
      <c r="AC469" s="254" t="str">
        <f>IF(COUNTIF(AD$78:AD469,AD469)=1,MAX(AC$78:AC468)+1,"")</f>
        <v/>
      </c>
      <c r="AD469" s="215">
        <f>'[2]Изложницы без бурта'!B469</f>
        <v>192.5</v>
      </c>
      <c r="AE469" s="215">
        <f>'[2]Изложницы без бурта'!C469</f>
        <v>265</v>
      </c>
      <c r="AF469" s="56">
        <f>'[2]Изложницы без бурта'!D469</f>
        <v>285</v>
      </c>
      <c r="AG469" s="56">
        <f>'[2]Изложницы без бурта'!E469</f>
        <v>320</v>
      </c>
      <c r="AH469" s="56" t="str">
        <f>'[2]Изложницы без бурта'!F469</f>
        <v>72.11870 - 22</v>
      </c>
      <c r="AI469" s="56">
        <f>'[2]Изложницы без бурта'!G469</f>
        <v>0</v>
      </c>
      <c r="AJ469" s="56">
        <f>'[2]Изложницы без бурта'!H469</f>
        <v>0</v>
      </c>
      <c r="AK469" s="56">
        <f>'[2]Изложницы без бурта'!I469</f>
        <v>0</v>
      </c>
      <c r="AL469" s="56" t="s">
        <v>607</v>
      </c>
      <c r="AM469" s="56">
        <f>'[2]Изложницы без бурта'!K469</f>
        <v>0</v>
      </c>
    </row>
    <row r="470" spans="28:39" x14ac:dyDescent="0.25">
      <c r="AB470" s="253" t="str">
        <f t="shared" si="23"/>
        <v/>
      </c>
      <c r="AC470" s="254" t="str">
        <f>IF(COUNTIF(AD$78:AD470,AD470)=1,MAX(AC$78:AC469)+1,"")</f>
        <v/>
      </c>
      <c r="AD470" s="215">
        <f>'[2]Изложницы без бурта'!B470</f>
        <v>192.5</v>
      </c>
      <c r="AE470" s="215">
        <f>'[2]Изложницы без бурта'!C470</f>
        <v>265</v>
      </c>
      <c r="AF470" s="56">
        <f>'[2]Изложницы без бурта'!D470</f>
        <v>285</v>
      </c>
      <c r="AG470" s="56">
        <f>'[2]Изложницы без бурта'!E470</f>
        <v>320</v>
      </c>
      <c r="AH470" s="56" t="str">
        <f>'[2]Изложницы без бурта'!F470</f>
        <v>72.11870 - 22</v>
      </c>
      <c r="AI470" s="56">
        <f>'[2]Изложницы без бурта'!G470</f>
        <v>0</v>
      </c>
      <c r="AJ470" s="56">
        <f>'[2]Изложницы без бурта'!H470</f>
        <v>0</v>
      </c>
      <c r="AK470" s="56">
        <f>'[2]Изложницы без бурта'!I470</f>
        <v>0</v>
      </c>
      <c r="AL470" s="56" t="s">
        <v>607</v>
      </c>
      <c r="AM470" s="56">
        <f>'[2]Изложницы без бурта'!K470</f>
        <v>0</v>
      </c>
    </row>
    <row r="471" spans="28:39" x14ac:dyDescent="0.25">
      <c r="AB471" s="253" t="str">
        <f t="shared" si="23"/>
        <v/>
      </c>
      <c r="AC471" s="254" t="str">
        <f>IF(COUNTIF(AD$78:AD471,AD471)=1,MAX(AC$78:AC470)+1,"")</f>
        <v/>
      </c>
      <c r="AD471" s="215">
        <f>'[2]Изложницы без бурта'!B471</f>
        <v>192.5</v>
      </c>
      <c r="AE471" s="215">
        <f>'[2]Изложницы без бурта'!C471</f>
        <v>265</v>
      </c>
      <c r="AF471" s="56">
        <f>'[2]Изложницы без бурта'!D471</f>
        <v>285</v>
      </c>
      <c r="AG471" s="56">
        <f>'[2]Изложницы без бурта'!E471</f>
        <v>320</v>
      </c>
      <c r="AH471" s="56" t="str">
        <f>'[2]Изложницы без бурта'!F471</f>
        <v>72.11870 - 22</v>
      </c>
      <c r="AI471" s="56">
        <f>'[2]Изложницы без бурта'!G471</f>
        <v>0</v>
      </c>
      <c r="AJ471" s="56">
        <f>'[2]Изложницы без бурта'!H471</f>
        <v>0</v>
      </c>
      <c r="AK471" s="56">
        <f>'[2]Изложницы без бурта'!I471</f>
        <v>0</v>
      </c>
      <c r="AL471" s="56" t="s">
        <v>607</v>
      </c>
      <c r="AM471" s="56">
        <f>'[2]Изложницы без бурта'!K471</f>
        <v>0</v>
      </c>
    </row>
    <row r="472" spans="28:39" x14ac:dyDescent="0.25">
      <c r="AB472" s="253" t="str">
        <f t="shared" si="23"/>
        <v/>
      </c>
      <c r="AC472" s="254" t="str">
        <f>IF(COUNTIF(AD$78:AD472,AD472)=1,MAX(AC$78:AC471)+1,"")</f>
        <v/>
      </c>
      <c r="AD472" s="215">
        <f>'[2]Изложницы без бурта'!B472</f>
        <v>192.5</v>
      </c>
      <c r="AE472" s="215">
        <f>'[2]Изложницы без бурта'!C472</f>
        <v>265</v>
      </c>
      <c r="AF472" s="56">
        <f>'[2]Изложницы без бурта'!D472</f>
        <v>285</v>
      </c>
      <c r="AG472" s="56">
        <f>'[2]Изложницы без бурта'!E472</f>
        <v>320</v>
      </c>
      <c r="AH472" s="56" t="str">
        <f>'[2]Изложницы без бурта'!F472</f>
        <v>72.11870 - 22</v>
      </c>
      <c r="AI472" s="56">
        <f>'[2]Изложницы без бурта'!G472</f>
        <v>0</v>
      </c>
      <c r="AJ472" s="56">
        <f>'[2]Изложницы без бурта'!H472</f>
        <v>0</v>
      </c>
      <c r="AK472" s="56">
        <f>'[2]Изложницы без бурта'!I472</f>
        <v>0</v>
      </c>
      <c r="AL472" s="56" t="s">
        <v>607</v>
      </c>
      <c r="AM472" s="56">
        <f>'[2]Изложницы без бурта'!K472</f>
        <v>0</v>
      </c>
    </row>
    <row r="473" spans="28:39" x14ac:dyDescent="0.25">
      <c r="AB473" s="253" t="str">
        <f t="shared" si="23"/>
        <v/>
      </c>
      <c r="AC473" s="254" t="str">
        <f>IF(COUNTIF(AD$78:AD473,AD473)=1,MAX(AC$78:AC472)+1,"")</f>
        <v/>
      </c>
      <c r="AD473" s="215">
        <f>'[2]Изложницы без бурта'!B473</f>
        <v>192.5</v>
      </c>
      <c r="AE473" s="215">
        <f>'[2]Изложницы без бурта'!C473</f>
        <v>265</v>
      </c>
      <c r="AF473" s="56">
        <f>'[2]Изложницы без бурта'!D473</f>
        <v>285</v>
      </c>
      <c r="AG473" s="56">
        <f>'[2]Изложницы без бурта'!E473</f>
        <v>320</v>
      </c>
      <c r="AH473" s="56" t="str">
        <f>'[2]Изложницы без бурта'!F473</f>
        <v>72.11870 - 22</v>
      </c>
      <c r="AI473" s="56">
        <f>'[2]Изложницы без бурта'!G473</f>
        <v>0</v>
      </c>
      <c r="AJ473" s="56">
        <f>'[2]Изложницы без бурта'!H473</f>
        <v>0</v>
      </c>
      <c r="AK473" s="56">
        <f>'[2]Изложницы без бурта'!I473</f>
        <v>0</v>
      </c>
      <c r="AL473" s="56" t="s">
        <v>607</v>
      </c>
      <c r="AM473" s="56">
        <f>'[2]Изложницы без бурта'!K473</f>
        <v>0</v>
      </c>
    </row>
    <row r="474" spans="28:39" x14ac:dyDescent="0.25">
      <c r="AB474" s="253" t="str">
        <f t="shared" si="23"/>
        <v/>
      </c>
      <c r="AC474" s="254" t="str">
        <f>IF(COUNTIF(AD$78:AD474,AD474)=1,MAX(AC$78:AC473)+1,"")</f>
        <v/>
      </c>
      <c r="AD474" s="215">
        <f>'[2]Изложницы без бурта'!B474</f>
        <v>192.5</v>
      </c>
      <c r="AE474" s="215">
        <f>'[2]Изложницы без бурта'!C474</f>
        <v>265</v>
      </c>
      <c r="AF474" s="56">
        <f>'[2]Изложницы без бурта'!D474</f>
        <v>285</v>
      </c>
      <c r="AG474" s="56">
        <f>'[2]Изложницы без бурта'!E474</f>
        <v>320</v>
      </c>
      <c r="AH474" s="56" t="str">
        <f>'[2]Изложницы без бурта'!F474</f>
        <v>72.11870 - 22</v>
      </c>
      <c r="AI474" s="56">
        <f>'[2]Изложницы без бурта'!G474</f>
        <v>0</v>
      </c>
      <c r="AJ474" s="56">
        <f>'[2]Изложницы без бурта'!H474</f>
        <v>0</v>
      </c>
      <c r="AK474" s="56">
        <f>'[2]Изложницы без бурта'!I474</f>
        <v>0</v>
      </c>
      <c r="AL474" s="56" t="s">
        <v>607</v>
      </c>
      <c r="AM474" s="56">
        <f>'[2]Изложницы без бурта'!K474</f>
        <v>0</v>
      </c>
    </row>
    <row r="475" spans="28:39" x14ac:dyDescent="0.25">
      <c r="AB475" s="253" t="str">
        <f t="shared" si="23"/>
        <v/>
      </c>
      <c r="AC475" s="254" t="str">
        <f>IF(COUNTIF(AD$78:AD475,AD475)=1,MAX(AC$78:AC474)+1,"")</f>
        <v/>
      </c>
      <c r="AD475" s="215">
        <f>'[2]Изложницы без бурта'!B475</f>
        <v>192.5</v>
      </c>
      <c r="AE475" s="215">
        <f>'[2]Изложницы без бурта'!C475</f>
        <v>263</v>
      </c>
      <c r="AF475" s="56">
        <f>'[2]Изложницы без бурта'!D475</f>
        <v>285</v>
      </c>
      <c r="AG475" s="56">
        <f>'[2]Изложницы без бурта'!E475</f>
        <v>320</v>
      </c>
      <c r="AH475" s="56" t="str">
        <f>'[2]Изложницы без бурта'!F475</f>
        <v>72.11870 - 22</v>
      </c>
      <c r="AI475" s="56">
        <f>'[2]Изложницы без бурта'!G475</f>
        <v>0</v>
      </c>
      <c r="AJ475" s="56">
        <f>'[2]Изложницы без бурта'!H475</f>
        <v>0</v>
      </c>
      <c r="AK475" s="56">
        <f>'[2]Изложницы без бурта'!I475</f>
        <v>0</v>
      </c>
      <c r="AL475" s="56" t="s">
        <v>607</v>
      </c>
      <c r="AM475" s="56">
        <f>'[2]Изложницы без бурта'!K475</f>
        <v>0</v>
      </c>
    </row>
    <row r="476" spans="28:39" x14ac:dyDescent="0.25">
      <c r="AB476" s="253" t="str">
        <f t="shared" si="23"/>
        <v/>
      </c>
      <c r="AC476" s="254" t="str">
        <f>IF(COUNTIF(AD$78:AD476,AD476)=1,MAX(AC$78:AC475)+1,"")</f>
        <v/>
      </c>
      <c r="AD476" s="215">
        <f>'[2]Изложницы без бурта'!B476</f>
        <v>192.5</v>
      </c>
      <c r="AE476" s="215">
        <f>'[2]Изложницы без бурта'!C476</f>
        <v>265</v>
      </c>
      <c r="AF476" s="56">
        <f>'[2]Изложницы без бурта'!D476</f>
        <v>285</v>
      </c>
      <c r="AG476" s="56">
        <f>'[2]Изложницы без бурта'!E476</f>
        <v>320</v>
      </c>
      <c r="AH476" s="56" t="str">
        <f>'[2]Изложницы без бурта'!F476</f>
        <v>72.11870 - 22</v>
      </c>
      <c r="AI476" s="56">
        <f>'[2]Изложницы без бурта'!G476</f>
        <v>0</v>
      </c>
      <c r="AJ476" s="56">
        <f>'[2]Изложницы без бурта'!H476</f>
        <v>0</v>
      </c>
      <c r="AK476" s="56">
        <f>'[2]Изложницы без бурта'!I476</f>
        <v>0</v>
      </c>
      <c r="AL476" s="56" t="s">
        <v>607</v>
      </c>
      <c r="AM476" s="56">
        <f>'[2]Изложницы без бурта'!K476</f>
        <v>0</v>
      </c>
    </row>
    <row r="477" spans="28:39" x14ac:dyDescent="0.25">
      <c r="AB477" s="253" t="str">
        <f t="shared" si="23"/>
        <v/>
      </c>
      <c r="AC477" s="254" t="str">
        <f>IF(COUNTIF(AD$78:AD477,AD477)=1,MAX(AC$78:AC476)+1,"")</f>
        <v/>
      </c>
      <c r="AD477" s="215">
        <f>'[2]Изложницы без бурта'!B477</f>
        <v>192.5</v>
      </c>
      <c r="AE477" s="215">
        <f>'[2]Изложницы без бурта'!C477</f>
        <v>265</v>
      </c>
      <c r="AF477" s="56">
        <f>'[2]Изложницы без бурта'!D477</f>
        <v>285</v>
      </c>
      <c r="AG477" s="56">
        <f>'[2]Изложницы без бурта'!E477</f>
        <v>320</v>
      </c>
      <c r="AH477" s="56" t="str">
        <f>'[2]Изложницы без бурта'!F477</f>
        <v>72.11870 - 22</v>
      </c>
      <c r="AI477" s="56">
        <f>'[2]Изложницы без бурта'!G477</f>
        <v>0</v>
      </c>
      <c r="AJ477" s="56">
        <f>'[2]Изложницы без бурта'!H477</f>
        <v>0</v>
      </c>
      <c r="AK477" s="56">
        <f>'[2]Изложницы без бурта'!I477</f>
        <v>0</v>
      </c>
      <c r="AL477" s="56" t="s">
        <v>607</v>
      </c>
      <c r="AM477" s="56">
        <f>'[2]Изложницы без бурта'!K477</f>
        <v>0</v>
      </c>
    </row>
    <row r="478" spans="28:39" x14ac:dyDescent="0.25">
      <c r="AB478" s="253" t="str">
        <f t="shared" si="23"/>
        <v/>
      </c>
      <c r="AC478" s="254" t="str">
        <f>IF(COUNTIF(AD$78:AD478,AD478)=1,MAX(AC$78:AC477)+1,"")</f>
        <v/>
      </c>
      <c r="AD478" s="215">
        <f>'[2]Изложницы без бурта'!B478</f>
        <v>192.5</v>
      </c>
      <c r="AE478" s="215">
        <f>'[2]Изложницы без бурта'!C478</f>
        <v>265</v>
      </c>
      <c r="AF478" s="56">
        <f>'[2]Изложницы без бурта'!D478</f>
        <v>285</v>
      </c>
      <c r="AG478" s="56">
        <f>'[2]Изложницы без бурта'!E478</f>
        <v>320</v>
      </c>
      <c r="AH478" s="56" t="str">
        <f>'[2]Изложницы без бурта'!F478</f>
        <v>72.11870 - 22</v>
      </c>
      <c r="AI478" s="56">
        <f>'[2]Изложницы без бурта'!G478</f>
        <v>0</v>
      </c>
      <c r="AJ478" s="56">
        <f>'[2]Изложницы без бурта'!H478</f>
        <v>0</v>
      </c>
      <c r="AK478" s="56">
        <f>'[2]Изложницы без бурта'!I478</f>
        <v>0</v>
      </c>
      <c r="AL478" s="56" t="s">
        <v>607</v>
      </c>
      <c r="AM478" s="56">
        <f>'[2]Изложницы без бурта'!K478</f>
        <v>0</v>
      </c>
    </row>
    <row r="479" spans="28:39" x14ac:dyDescent="0.25">
      <c r="AB479" s="253" t="str">
        <f t="shared" si="23"/>
        <v/>
      </c>
      <c r="AC479" s="254" t="str">
        <f>IF(COUNTIF(AD$78:AD479,AD479)=1,MAX(AC$78:AC478)+1,"")</f>
        <v/>
      </c>
      <c r="AD479" s="215">
        <f>'[2]Изложницы без бурта'!B479</f>
        <v>192.5</v>
      </c>
      <c r="AE479" s="215">
        <f>'[2]Изложницы без бурта'!C479</f>
        <v>265</v>
      </c>
      <c r="AF479" s="56">
        <f>'[2]Изложницы без бурта'!D479</f>
        <v>285</v>
      </c>
      <c r="AG479" s="56">
        <f>'[2]Изложницы без бурта'!E479</f>
        <v>320</v>
      </c>
      <c r="AH479" s="56" t="str">
        <f>'[2]Изложницы без бурта'!F479</f>
        <v>72.11870 - 22</v>
      </c>
      <c r="AI479" s="56">
        <f>'[2]Изложницы без бурта'!G479</f>
        <v>0</v>
      </c>
      <c r="AJ479" s="56">
        <f>'[2]Изложницы без бурта'!H479</f>
        <v>0</v>
      </c>
      <c r="AK479" s="56">
        <f>'[2]Изложницы без бурта'!I479</f>
        <v>0</v>
      </c>
      <c r="AL479" s="56" t="s">
        <v>607</v>
      </c>
      <c r="AM479" s="56">
        <f>'[2]Изложницы без бурта'!K479</f>
        <v>0</v>
      </c>
    </row>
    <row r="480" spans="28:39" x14ac:dyDescent="0.25">
      <c r="AB480" s="253" t="str">
        <f t="shared" si="23"/>
        <v/>
      </c>
      <c r="AC480" s="254" t="str">
        <f>IF(COUNTIF(AD$78:AD480,AD480)=1,MAX(AC$78:AC479)+1,"")</f>
        <v/>
      </c>
      <c r="AD480" s="215">
        <f>'[2]Изложницы без бурта'!B480</f>
        <v>192.5</v>
      </c>
      <c r="AE480" s="215">
        <f>'[2]Изложницы без бурта'!C480</f>
        <v>260</v>
      </c>
      <c r="AF480" s="56">
        <f>'[2]Изложницы без бурта'!D480</f>
        <v>375</v>
      </c>
      <c r="AG480" s="56">
        <f>'[2]Изложницы без бурта'!E480</f>
        <v>320</v>
      </c>
      <c r="AH480" s="56" t="str">
        <f>'[2]Изложницы без бурта'!F480</f>
        <v>72.49955 - 1</v>
      </c>
      <c r="AI480" s="56">
        <f>'[2]Изложницы без бурта'!G480</f>
        <v>0</v>
      </c>
      <c r="AJ480" s="56">
        <f>'[2]Изложницы без бурта'!H480</f>
        <v>0</v>
      </c>
      <c r="AK480" s="56">
        <f>'[2]Изложницы без бурта'!I480</f>
        <v>0</v>
      </c>
      <c r="AL480" s="56" t="s">
        <v>607</v>
      </c>
      <c r="AM480" s="56">
        <f>'[2]Изложницы без бурта'!K480</f>
        <v>0</v>
      </c>
    </row>
    <row r="481" spans="28:39" x14ac:dyDescent="0.25">
      <c r="AB481" s="253" t="str">
        <f t="shared" si="23"/>
        <v/>
      </c>
      <c r="AC481" s="254" t="str">
        <f>IF(COUNTIF(AD$78:AD481,AD481)=1,MAX(AC$78:AC480)+1,"")</f>
        <v/>
      </c>
      <c r="AD481" s="215">
        <f>'[2]Изложницы без бурта'!B481</f>
        <v>192.5</v>
      </c>
      <c r="AE481" s="215">
        <f>'[2]Изложницы без бурта'!C481</f>
        <v>265</v>
      </c>
      <c r="AF481" s="56">
        <f>'[2]Изложницы без бурта'!D481</f>
        <v>285</v>
      </c>
      <c r="AG481" s="56">
        <f>'[2]Изложницы без бурта'!E481</f>
        <v>320</v>
      </c>
      <c r="AH481" s="56" t="str">
        <f>'[2]Изложницы без бурта'!F481</f>
        <v>72.11870 - 22</v>
      </c>
      <c r="AI481" s="56">
        <f>'[2]Изложницы без бурта'!G481</f>
        <v>0</v>
      </c>
      <c r="AJ481" s="56">
        <f>'[2]Изложницы без бурта'!H481</f>
        <v>0</v>
      </c>
      <c r="AK481" s="56">
        <f>'[2]Изложницы без бурта'!I481</f>
        <v>0</v>
      </c>
      <c r="AL481" s="56" t="s">
        <v>607</v>
      </c>
      <c r="AM481" s="56">
        <f>'[2]Изложницы без бурта'!K481</f>
        <v>0</v>
      </c>
    </row>
    <row r="482" spans="28:39" x14ac:dyDescent="0.25">
      <c r="AB482" s="253" t="str">
        <f t="shared" si="23"/>
        <v/>
      </c>
      <c r="AC482" s="254" t="str">
        <f>IF(COUNTIF(AD$78:AD482,AD482)=1,MAX(AC$78:AC481)+1,"")</f>
        <v/>
      </c>
      <c r="AD482" s="215">
        <f>'[2]Изложницы без бурта'!B482</f>
        <v>192.5</v>
      </c>
      <c r="AE482" s="215">
        <f>'[2]Изложницы без бурта'!C482</f>
        <v>265</v>
      </c>
      <c r="AF482" s="56">
        <f>'[2]Изложницы без бурта'!D482</f>
        <v>285</v>
      </c>
      <c r="AG482" s="56">
        <f>'[2]Изложницы без бурта'!E482</f>
        <v>320</v>
      </c>
      <c r="AH482" s="56" t="str">
        <f>'[2]Изложницы без бурта'!F482</f>
        <v>72.11870 - 22</v>
      </c>
      <c r="AI482" s="56">
        <f>'[2]Изложницы без бурта'!G482</f>
        <v>0</v>
      </c>
      <c r="AJ482" s="56">
        <f>'[2]Изложницы без бурта'!H482</f>
        <v>0</v>
      </c>
      <c r="AK482" s="56">
        <f>'[2]Изложницы без бурта'!I482</f>
        <v>0</v>
      </c>
      <c r="AL482" s="56" t="s">
        <v>607</v>
      </c>
      <c r="AM482" s="56">
        <f>'[2]Изложницы без бурта'!K482</f>
        <v>0</v>
      </c>
    </row>
    <row r="483" spans="28:39" x14ac:dyDescent="0.25">
      <c r="AB483" s="253" t="str">
        <f t="shared" si="23"/>
        <v/>
      </c>
      <c r="AC483" s="254" t="str">
        <f>IF(COUNTIF(AD$78:AD483,AD483)=1,MAX(AC$78:AC482)+1,"")</f>
        <v/>
      </c>
      <c r="AD483" s="215">
        <f>'[2]Изложницы без бурта'!B483</f>
        <v>192.5</v>
      </c>
      <c r="AE483" s="215">
        <f>'[2]Изложницы без бурта'!C483</f>
        <v>265</v>
      </c>
      <c r="AF483" s="56">
        <f>'[2]Изложницы без бурта'!D483</f>
        <v>285</v>
      </c>
      <c r="AG483" s="56">
        <f>'[2]Изложницы без бурта'!E483</f>
        <v>320</v>
      </c>
      <c r="AH483" s="56" t="str">
        <f>'[2]Изложницы без бурта'!F483</f>
        <v>72.11870 - 22</v>
      </c>
      <c r="AI483" s="56">
        <f>'[2]Изложницы без бурта'!G483</f>
        <v>0</v>
      </c>
      <c r="AJ483" s="56">
        <f>'[2]Изложницы без бурта'!H483</f>
        <v>0</v>
      </c>
      <c r="AK483" s="56">
        <f>'[2]Изложницы без бурта'!I483</f>
        <v>0</v>
      </c>
      <c r="AL483" s="56" t="s">
        <v>607</v>
      </c>
      <c r="AM483" s="56">
        <f>'[2]Изложницы без бурта'!K483</f>
        <v>0</v>
      </c>
    </row>
    <row r="484" spans="28:39" x14ac:dyDescent="0.25">
      <c r="AB484" s="253" t="str">
        <f t="shared" si="23"/>
        <v/>
      </c>
      <c r="AC484" s="254" t="str">
        <f>IF(COUNTIF(AD$78:AD484,AD484)=1,MAX(AC$78:AC483)+1,"")</f>
        <v/>
      </c>
      <c r="AD484" s="215">
        <f>'[2]Изложницы без бурта'!B484</f>
        <v>192.5</v>
      </c>
      <c r="AE484" s="215">
        <f>'[2]Изложницы без бурта'!C484</f>
        <v>265</v>
      </c>
      <c r="AF484" s="56">
        <f>'[2]Изложницы без бурта'!D484</f>
        <v>285</v>
      </c>
      <c r="AG484" s="56">
        <f>'[2]Изложницы без бурта'!E484</f>
        <v>320</v>
      </c>
      <c r="AH484" s="56" t="str">
        <f>'[2]Изложницы без бурта'!F484</f>
        <v>72.11870 - 22</v>
      </c>
      <c r="AI484" s="56">
        <f>'[2]Изложницы без бурта'!G484</f>
        <v>0</v>
      </c>
      <c r="AJ484" s="56">
        <f>'[2]Изложницы без бурта'!H484</f>
        <v>0</v>
      </c>
      <c r="AK484" s="56">
        <f>'[2]Изложницы без бурта'!I484</f>
        <v>0</v>
      </c>
      <c r="AL484" s="56" t="s">
        <v>607</v>
      </c>
      <c r="AM484" s="56">
        <f>'[2]Изложницы без бурта'!K484</f>
        <v>0</v>
      </c>
    </row>
    <row r="485" spans="28:39" x14ac:dyDescent="0.25">
      <c r="AB485" s="253" t="str">
        <f t="shared" si="23"/>
        <v/>
      </c>
      <c r="AC485" s="254" t="str">
        <f>IF(COUNTIF(AD$78:AD485,AD485)=1,MAX(AC$78:AC484)+1,"")</f>
        <v/>
      </c>
      <c r="AD485" s="215">
        <f>'[2]Изложницы без бурта'!B485</f>
        <v>192.5</v>
      </c>
      <c r="AE485" s="215">
        <f>'[2]Изложницы без бурта'!C485</f>
        <v>250</v>
      </c>
      <c r="AF485" s="56">
        <f>'[2]Изложницы без бурта'!D485</f>
        <v>285</v>
      </c>
      <c r="AG485" s="56">
        <f>'[2]Изложницы без бурта'!E485</f>
        <v>320</v>
      </c>
      <c r="AH485" s="56" t="str">
        <f>'[2]Изложницы без бурта'!F485</f>
        <v>72.11870 - 22</v>
      </c>
      <c r="AI485" s="56">
        <f>'[2]Изложницы без бурта'!G485</f>
        <v>0</v>
      </c>
      <c r="AJ485" s="56">
        <f>'[2]Изложницы без бурта'!H485</f>
        <v>0</v>
      </c>
      <c r="AK485" s="56">
        <f>'[2]Изложницы без бурта'!I485</f>
        <v>0</v>
      </c>
      <c r="AL485" s="56" t="s">
        <v>607</v>
      </c>
      <c r="AM485" s="56">
        <f>'[2]Изложницы без бурта'!K485</f>
        <v>0</v>
      </c>
    </row>
    <row r="486" spans="28:39" x14ac:dyDescent="0.25">
      <c r="AB486" s="253" t="str">
        <f t="shared" si="23"/>
        <v/>
      </c>
      <c r="AC486" s="254" t="str">
        <f>IF(COUNTIF(AD$78:AD486,AD486)=1,MAX(AC$78:AC485)+1,"")</f>
        <v/>
      </c>
      <c r="AD486" s="215">
        <f>'[2]Изложницы без бурта'!B486</f>
        <v>192.5</v>
      </c>
      <c r="AE486" s="215">
        <f>'[2]Изложницы без бурта'!C486</f>
        <v>265</v>
      </c>
      <c r="AF486" s="56">
        <f>'[2]Изложницы без бурта'!D486</f>
        <v>285</v>
      </c>
      <c r="AG486" s="56">
        <f>'[2]Изложницы без бурта'!E486</f>
        <v>320</v>
      </c>
      <c r="AH486" s="56" t="str">
        <f>'[2]Изложницы без бурта'!F486</f>
        <v>72.11870 - 22</v>
      </c>
      <c r="AI486" s="56">
        <f>'[2]Изложницы без бурта'!G486</f>
        <v>0</v>
      </c>
      <c r="AJ486" s="56">
        <f>'[2]Изложницы без бурта'!H486</f>
        <v>0</v>
      </c>
      <c r="AK486" s="56">
        <f>'[2]Изложницы без бурта'!I486</f>
        <v>0</v>
      </c>
      <c r="AL486" s="56" t="s">
        <v>607</v>
      </c>
      <c r="AM486" s="56">
        <f>'[2]Изложницы без бурта'!K486</f>
        <v>0</v>
      </c>
    </row>
    <row r="487" spans="28:39" x14ac:dyDescent="0.25">
      <c r="AB487" s="253" t="str">
        <f t="shared" si="23"/>
        <v/>
      </c>
      <c r="AC487" s="254" t="str">
        <f>IF(COUNTIF(AD$78:AD487,AD487)=1,MAX(AC$78:AC486)+1,"")</f>
        <v/>
      </c>
      <c r="AD487" s="215">
        <f>'[2]Изложницы без бурта'!B487</f>
        <v>192.5</v>
      </c>
      <c r="AE487" s="215">
        <f>'[2]Изложницы без бурта'!C487</f>
        <v>265</v>
      </c>
      <c r="AF487" s="56">
        <f>'[2]Изложницы без бурта'!D487</f>
        <v>285</v>
      </c>
      <c r="AG487" s="56">
        <f>'[2]Изложницы без бурта'!E487</f>
        <v>320</v>
      </c>
      <c r="AH487" s="56" t="str">
        <f>'[2]Изложницы без бурта'!F487</f>
        <v>72.11870 - 22</v>
      </c>
      <c r="AI487" s="56">
        <f>'[2]Изложницы без бурта'!G487</f>
        <v>0</v>
      </c>
      <c r="AJ487" s="56">
        <f>'[2]Изложницы без бурта'!H487</f>
        <v>0</v>
      </c>
      <c r="AK487" s="56">
        <f>'[2]Изложницы без бурта'!I487</f>
        <v>0</v>
      </c>
      <c r="AL487" s="56" t="s">
        <v>607</v>
      </c>
      <c r="AM487" s="56">
        <f>'[2]Изложницы без бурта'!K487</f>
        <v>0</v>
      </c>
    </row>
    <row r="488" spans="28:39" x14ac:dyDescent="0.25">
      <c r="AB488" s="253" t="str">
        <f t="shared" si="23"/>
        <v/>
      </c>
      <c r="AC488" s="254" t="str">
        <f>IF(COUNTIF(AD$78:AD488,AD488)=1,MAX(AC$78:AC487)+1,"")</f>
        <v/>
      </c>
      <c r="AD488" s="215">
        <f>'[2]Изложницы без бурта'!B488</f>
        <v>192.5</v>
      </c>
      <c r="AE488" s="215">
        <f>'[2]Изложницы без бурта'!C488</f>
        <v>262</v>
      </c>
      <c r="AF488" s="56">
        <f>'[2]Изложницы без бурта'!D488</f>
        <v>285</v>
      </c>
      <c r="AG488" s="56">
        <f>'[2]Изложницы без бурта'!E488</f>
        <v>320</v>
      </c>
      <c r="AH488" s="56" t="str">
        <f>'[2]Изложницы без бурта'!F488</f>
        <v>72.11870 - 22</v>
      </c>
      <c r="AI488" s="56">
        <f>'[2]Изложницы без бурта'!G488</f>
        <v>0</v>
      </c>
      <c r="AJ488" s="56">
        <f>'[2]Изложницы без бурта'!H488</f>
        <v>0</v>
      </c>
      <c r="AK488" s="56">
        <f>'[2]Изложницы без бурта'!I488</f>
        <v>0</v>
      </c>
      <c r="AL488" s="56" t="s">
        <v>607</v>
      </c>
      <c r="AM488" s="56">
        <f>'[2]Изложницы без бурта'!K488</f>
        <v>0</v>
      </c>
    </row>
    <row r="489" spans="28:39" x14ac:dyDescent="0.25">
      <c r="AB489" s="253" t="str">
        <f t="shared" si="23"/>
        <v/>
      </c>
      <c r="AC489" s="254" t="str">
        <f>IF(COUNTIF(AD$78:AD489,AD489)=1,MAX(AC$78:AC488)+1,"")</f>
        <v/>
      </c>
      <c r="AD489" s="215">
        <f>'[2]Изложницы без бурта'!B489</f>
        <v>192.5</v>
      </c>
      <c r="AE489" s="215">
        <f>'[2]Изложницы без бурта'!C489</f>
        <v>317</v>
      </c>
      <c r="AF489" s="56">
        <f>'[2]Изложницы без бурта'!D489</f>
        <v>285</v>
      </c>
      <c r="AG489" s="56">
        <f>'[2]Изложницы без бурта'!E489</f>
        <v>320</v>
      </c>
      <c r="AH489" s="56" t="str">
        <f>'[2]Изложницы без бурта'!F489</f>
        <v>72.11871 - 22</v>
      </c>
      <c r="AI489" s="56">
        <f>'[2]Изложницы без бурта'!G489</f>
        <v>0</v>
      </c>
      <c r="AJ489" s="56">
        <f>'[2]Изложницы без бурта'!H489</f>
        <v>0</v>
      </c>
      <c r="AK489" s="56">
        <f>'[2]Изложницы без бурта'!I489</f>
        <v>0</v>
      </c>
      <c r="AL489" s="56" t="s">
        <v>607</v>
      </c>
      <c r="AM489" s="56">
        <f>'[2]Изложницы без бурта'!K489</f>
        <v>0</v>
      </c>
    </row>
    <row r="490" spans="28:39" x14ac:dyDescent="0.25">
      <c r="AB490" s="253" t="str">
        <f t="shared" si="23"/>
        <v/>
      </c>
      <c r="AC490" s="254" t="str">
        <f>IF(COUNTIF(AD$78:AD490,AD490)=1,MAX(AC$78:AC489)+1,"")</f>
        <v/>
      </c>
      <c r="AD490" s="215">
        <f>'[2]Изложницы без бурта'!B490</f>
        <v>192.5</v>
      </c>
      <c r="AE490" s="215">
        <f>'[2]Изложницы без бурта'!C490</f>
        <v>265</v>
      </c>
      <c r="AF490" s="56">
        <f>'[2]Изложницы без бурта'!D490</f>
        <v>285</v>
      </c>
      <c r="AG490" s="56">
        <f>'[2]Изложницы без бурта'!E490</f>
        <v>320</v>
      </c>
      <c r="AH490" s="56" t="str">
        <f>'[2]Изложницы без бурта'!F490</f>
        <v>72.11870 - 22</v>
      </c>
      <c r="AI490" s="56">
        <f>'[2]Изложницы без бурта'!G490</f>
        <v>0</v>
      </c>
      <c r="AJ490" s="56">
        <f>'[2]Изложницы без бурта'!H490</f>
        <v>0</v>
      </c>
      <c r="AK490" s="56">
        <f>'[2]Изложницы без бурта'!I490</f>
        <v>0</v>
      </c>
      <c r="AL490" s="56" t="s">
        <v>607</v>
      </c>
      <c r="AM490" s="56">
        <f>'[2]Изложницы без бурта'!K490</f>
        <v>0</v>
      </c>
    </row>
    <row r="491" spans="28:39" x14ac:dyDescent="0.25">
      <c r="AB491" s="253" t="str">
        <f t="shared" si="23"/>
        <v/>
      </c>
      <c r="AC491" s="254" t="str">
        <f>IF(COUNTIF(AD$78:AD491,AD491)=1,MAX(AC$78:AC490)+1,"")</f>
        <v/>
      </c>
      <c r="AD491" s="215">
        <f>'[2]Изложницы без бурта'!B491</f>
        <v>192.5</v>
      </c>
      <c r="AE491" s="215">
        <f>'[2]Изложницы без бурта'!C491</f>
        <v>260</v>
      </c>
      <c r="AF491" s="56">
        <f>'[2]Изложницы без бурта'!D491</f>
        <v>360</v>
      </c>
      <c r="AG491" s="56">
        <f>'[2]Изложницы без бурта'!E491</f>
        <v>320</v>
      </c>
      <c r="AH491" s="56" t="str">
        <f>'[2]Изложницы без бурта'!F491</f>
        <v>72.49955 - 1</v>
      </c>
      <c r="AI491" s="56">
        <f>'[2]Изложницы без бурта'!G491</f>
        <v>0</v>
      </c>
      <c r="AJ491" s="56">
        <f>'[2]Изложницы без бурта'!H491</f>
        <v>0</v>
      </c>
      <c r="AK491" s="56">
        <f>'[2]Изложницы без бурта'!I491</f>
        <v>0</v>
      </c>
      <c r="AL491" s="56" t="s">
        <v>607</v>
      </c>
      <c r="AM491" s="56">
        <f>'[2]Изложницы без бурта'!K491</f>
        <v>0</v>
      </c>
    </row>
    <row r="492" spans="28:39" x14ac:dyDescent="0.25">
      <c r="AB492" s="253" t="str">
        <f t="shared" si="23"/>
        <v/>
      </c>
      <c r="AC492" s="254" t="str">
        <f>IF(COUNTIF(AD$78:AD492,AD492)=1,MAX(AC$78:AC491)+1,"")</f>
        <v/>
      </c>
      <c r="AD492" s="215">
        <f>'[2]Изложницы без бурта'!B492</f>
        <v>192.5</v>
      </c>
      <c r="AE492" s="215">
        <f>'[2]Изложницы без бурта'!C492</f>
        <v>265</v>
      </c>
      <c r="AF492" s="56">
        <f>'[2]Изложницы без бурта'!D492</f>
        <v>285</v>
      </c>
      <c r="AG492" s="56">
        <f>'[2]Изложницы без бурта'!E492</f>
        <v>320</v>
      </c>
      <c r="AH492" s="56" t="str">
        <f>'[2]Изложницы без бурта'!F492</f>
        <v>72.11870 - 22</v>
      </c>
      <c r="AI492" s="56">
        <f>'[2]Изложницы без бурта'!G492</f>
        <v>0</v>
      </c>
      <c r="AJ492" s="56">
        <f>'[2]Изложницы без бурта'!H492</f>
        <v>0</v>
      </c>
      <c r="AK492" s="56">
        <f>'[2]Изложницы без бурта'!I492</f>
        <v>0</v>
      </c>
      <c r="AL492" s="56" t="s">
        <v>607</v>
      </c>
      <c r="AM492" s="56">
        <f>'[2]Изложницы без бурта'!K492</f>
        <v>0</v>
      </c>
    </row>
    <row r="493" spans="28:39" x14ac:dyDescent="0.25">
      <c r="AB493" s="253" t="str">
        <f t="shared" si="23"/>
        <v/>
      </c>
      <c r="AC493" s="254" t="str">
        <f>IF(COUNTIF(AD$78:AD493,AD493)=1,MAX(AC$78:AC492)+1,"")</f>
        <v/>
      </c>
      <c r="AD493" s="215">
        <f>'[2]Изложницы без бурта'!B493</f>
        <v>192.5</v>
      </c>
      <c r="AE493" s="215">
        <f>'[2]Изложницы без бурта'!C493</f>
        <v>260</v>
      </c>
      <c r="AF493" s="56">
        <f>'[2]Изложницы без бурта'!D493</f>
        <v>285</v>
      </c>
      <c r="AG493" s="56">
        <f>'[2]Изложницы без бурта'!E493</f>
        <v>320</v>
      </c>
      <c r="AH493" s="56" t="str">
        <f>'[2]Изложницы без бурта'!F493</f>
        <v>72.11870 - 22</v>
      </c>
      <c r="AI493" s="56">
        <f>'[2]Изложницы без бурта'!G493</f>
        <v>0</v>
      </c>
      <c r="AJ493" s="56">
        <f>'[2]Изложницы без бурта'!H493</f>
        <v>0</v>
      </c>
      <c r="AK493" s="56">
        <f>'[2]Изложницы без бурта'!I493</f>
        <v>0</v>
      </c>
      <c r="AL493" s="56" t="s">
        <v>607</v>
      </c>
      <c r="AM493" s="56">
        <f>'[2]Изложницы без бурта'!K493</f>
        <v>0</v>
      </c>
    </row>
    <row r="494" spans="28:39" x14ac:dyDescent="0.25">
      <c r="AB494" s="253" t="str">
        <f t="shared" si="23"/>
        <v/>
      </c>
      <c r="AC494" s="254" t="str">
        <f>IF(COUNTIF(AD$78:AD494,AD494)=1,MAX(AC$78:AC493)+1,"")</f>
        <v/>
      </c>
      <c r="AD494" s="215">
        <f>'[2]Изложницы без бурта'!B494</f>
        <v>192.5</v>
      </c>
      <c r="AE494" s="215">
        <f>'[2]Изложницы без бурта'!C494</f>
        <v>265</v>
      </c>
      <c r="AF494" s="56">
        <f>'[2]Изложницы без бурта'!D494</f>
        <v>285</v>
      </c>
      <c r="AG494" s="56">
        <f>'[2]Изложницы без бурта'!E494</f>
        <v>320</v>
      </c>
      <c r="AH494" s="56" t="str">
        <f>'[2]Изложницы без бурта'!F494</f>
        <v>72.11870 - 22</v>
      </c>
      <c r="AI494" s="56">
        <f>'[2]Изложницы без бурта'!G494</f>
        <v>0</v>
      </c>
      <c r="AJ494" s="56">
        <f>'[2]Изложницы без бурта'!H494</f>
        <v>0</v>
      </c>
      <c r="AK494" s="56">
        <f>'[2]Изложницы без бурта'!I494</f>
        <v>0</v>
      </c>
      <c r="AL494" s="56" t="s">
        <v>607</v>
      </c>
      <c r="AM494" s="56">
        <f>'[2]Изложницы без бурта'!K494</f>
        <v>0</v>
      </c>
    </row>
    <row r="495" spans="28:39" x14ac:dyDescent="0.25">
      <c r="AB495" s="253" t="str">
        <f t="shared" si="23"/>
        <v/>
      </c>
      <c r="AC495" s="254" t="str">
        <f>IF(COUNTIF(AD$78:AD495,AD495)=1,MAX(AC$78:AC494)+1,"")</f>
        <v/>
      </c>
      <c r="AD495" s="215">
        <f>'[2]Изложницы без бурта'!B495</f>
        <v>192.5</v>
      </c>
      <c r="AE495" s="215">
        <f>'[2]Изложницы без бурта'!C495</f>
        <v>265</v>
      </c>
      <c r="AF495" s="56">
        <f>'[2]Изложницы без бурта'!D495</f>
        <v>285</v>
      </c>
      <c r="AG495" s="56">
        <f>'[2]Изложницы без бурта'!E495</f>
        <v>320</v>
      </c>
      <c r="AH495" s="56" t="str">
        <f>'[2]Изложницы без бурта'!F495</f>
        <v>72.11870 - 22</v>
      </c>
      <c r="AI495" s="56">
        <f>'[2]Изложницы без бурта'!G495</f>
        <v>0</v>
      </c>
      <c r="AJ495" s="56">
        <f>'[2]Изложницы без бурта'!H495</f>
        <v>0</v>
      </c>
      <c r="AK495" s="56">
        <f>'[2]Изложницы без бурта'!I495</f>
        <v>0</v>
      </c>
      <c r="AL495" s="56" t="s">
        <v>607</v>
      </c>
      <c r="AM495" s="56">
        <f>'[2]Изложницы без бурта'!K495</f>
        <v>0</v>
      </c>
    </row>
    <row r="496" spans="28:39" x14ac:dyDescent="0.25">
      <c r="AB496" s="253" t="str">
        <f t="shared" si="23"/>
        <v/>
      </c>
      <c r="AC496" s="254" t="str">
        <f>IF(COUNTIF(AD$78:AD496,AD496)=1,MAX(AC$78:AC495)+1,"")</f>
        <v/>
      </c>
      <c r="AD496" s="215">
        <f>'[2]Изложницы без бурта'!B496</f>
        <v>192.5</v>
      </c>
      <c r="AE496" s="215">
        <f>'[2]Изложницы без бурта'!C496</f>
        <v>265</v>
      </c>
      <c r="AF496" s="56">
        <f>'[2]Изложницы без бурта'!D496</f>
        <v>285</v>
      </c>
      <c r="AG496" s="56">
        <f>'[2]Изложницы без бурта'!E496</f>
        <v>320</v>
      </c>
      <c r="AH496" s="56" t="str">
        <f>'[2]Изложницы без бурта'!F496</f>
        <v>72.11870 - 22</v>
      </c>
      <c r="AI496" s="56">
        <f>'[2]Изложницы без бурта'!G496</f>
        <v>0</v>
      </c>
      <c r="AJ496" s="56">
        <f>'[2]Изложницы без бурта'!H496</f>
        <v>0</v>
      </c>
      <c r="AK496" s="56">
        <f>'[2]Изложницы без бурта'!I496</f>
        <v>0</v>
      </c>
      <c r="AL496" s="56" t="s">
        <v>607</v>
      </c>
      <c r="AM496" s="56">
        <f>'[2]Изложницы без бурта'!K496</f>
        <v>0</v>
      </c>
    </row>
    <row r="497" spans="28:39" x14ac:dyDescent="0.25">
      <c r="AB497" s="253" t="str">
        <f t="shared" si="23"/>
        <v/>
      </c>
      <c r="AC497" s="254" t="str">
        <f>IF(COUNTIF(AD$78:AD497,AD497)=1,MAX(AC$78:AC496)+1,"")</f>
        <v/>
      </c>
      <c r="AD497" s="215">
        <f>'[2]Изложницы без бурта'!B497</f>
        <v>192.5</v>
      </c>
      <c r="AE497" s="215">
        <f>'[2]Изложницы без бурта'!C497</f>
        <v>265</v>
      </c>
      <c r="AF497" s="56">
        <f>'[2]Изложницы без бурта'!D497</f>
        <v>285</v>
      </c>
      <c r="AG497" s="56">
        <f>'[2]Изложницы без бурта'!E497</f>
        <v>320</v>
      </c>
      <c r="AH497" s="56" t="str">
        <f>'[2]Изложницы без бурта'!F497</f>
        <v>72.11870 - 22</v>
      </c>
      <c r="AI497" s="56">
        <f>'[2]Изложницы без бурта'!G497</f>
        <v>0</v>
      </c>
      <c r="AJ497" s="56">
        <f>'[2]Изложницы без бурта'!H497</f>
        <v>0</v>
      </c>
      <c r="AK497" s="56">
        <f>'[2]Изложницы без бурта'!I497</f>
        <v>0</v>
      </c>
      <c r="AL497" s="56" t="s">
        <v>607</v>
      </c>
      <c r="AM497" s="56">
        <f>'[2]Изложницы без бурта'!K497</f>
        <v>0</v>
      </c>
    </row>
    <row r="498" spans="28:39" x14ac:dyDescent="0.25">
      <c r="AB498" s="253" t="str">
        <f t="shared" si="23"/>
        <v/>
      </c>
      <c r="AC498" s="254" t="str">
        <f>IF(COUNTIF(AD$78:AD498,AD498)=1,MAX(AC$78:AC497)+1,"")</f>
        <v/>
      </c>
      <c r="AD498" s="215">
        <f>'[2]Изложницы без бурта'!B498</f>
        <v>192.5</v>
      </c>
      <c r="AE498" s="215">
        <f>'[2]Изложницы без бурта'!C498</f>
        <v>260</v>
      </c>
      <c r="AF498" s="56">
        <f>'[2]Изложницы без бурта'!D498</f>
        <v>375</v>
      </c>
      <c r="AG498" s="56">
        <f>'[2]Изложницы без бурта'!E498</f>
        <v>320</v>
      </c>
      <c r="AH498" s="56" t="str">
        <f>'[2]Изложницы без бурта'!F498</f>
        <v>72.49955 - 1</v>
      </c>
      <c r="AI498" s="56">
        <f>'[2]Изложницы без бурта'!G498</f>
        <v>0</v>
      </c>
      <c r="AJ498" s="56">
        <f>'[2]Изложницы без бурта'!H498</f>
        <v>0</v>
      </c>
      <c r="AK498" s="56">
        <f>'[2]Изложницы без бурта'!I498</f>
        <v>0</v>
      </c>
      <c r="AL498" s="56" t="s">
        <v>607</v>
      </c>
      <c r="AM498" s="56">
        <f>'[2]Изложницы без бурта'!K498</f>
        <v>0</v>
      </c>
    </row>
    <row r="499" spans="28:39" x14ac:dyDescent="0.25">
      <c r="AB499" s="253" t="str">
        <f t="shared" si="23"/>
        <v/>
      </c>
      <c r="AC499" s="254">
        <f>IF(COUNTIF(AD$78:AD499,AD499)=1,MAX(AC$78:AC498)+1,"")</f>
        <v>43</v>
      </c>
      <c r="AD499" s="215">
        <f>'[2]Изложницы без бурта'!B499</f>
        <v>195</v>
      </c>
      <c r="AE499" s="215">
        <f>'[2]Изложницы без бурта'!C499</f>
        <v>265</v>
      </c>
      <c r="AF499" s="56">
        <f>'[2]Изложницы без бурта'!D499</f>
        <v>285</v>
      </c>
      <c r="AG499" s="56">
        <f>'[2]Изложницы без бурта'!E499</f>
        <v>320</v>
      </c>
      <c r="AH499" s="56" t="str">
        <f>'[2]Изложницы без бурта'!F499</f>
        <v>72.11870 - 23</v>
      </c>
      <c r="AI499" s="56">
        <f>'[2]Изложницы без бурта'!G499</f>
        <v>0</v>
      </c>
      <c r="AJ499" s="56">
        <f>'[2]Изложницы без бурта'!H499</f>
        <v>0</v>
      </c>
      <c r="AK499" s="56">
        <f>'[2]Изложницы без бурта'!I499</f>
        <v>0</v>
      </c>
      <c r="AL499" s="56" t="s">
        <v>608</v>
      </c>
      <c r="AM499" s="56">
        <f>'[2]Изложницы без бурта'!K499</f>
        <v>0</v>
      </c>
    </row>
    <row r="500" spans="28:39" x14ac:dyDescent="0.25">
      <c r="AB500" s="253" t="str">
        <f t="shared" si="23"/>
        <v/>
      </c>
      <c r="AC500" s="254" t="str">
        <f>IF(COUNTIF(AD$78:AD500,AD500)=1,MAX(AC$78:AC499)+1,"")</f>
        <v/>
      </c>
      <c r="AD500" s="215">
        <f>'[2]Изложницы без бурта'!B500</f>
        <v>195</v>
      </c>
      <c r="AE500" s="215">
        <f>'[2]Изложницы без бурта'!C500</f>
        <v>265</v>
      </c>
      <c r="AF500" s="56">
        <f>'[2]Изложницы без бурта'!D500</f>
        <v>285</v>
      </c>
      <c r="AG500" s="56">
        <f>'[2]Изложницы без бурта'!E500</f>
        <v>320</v>
      </c>
      <c r="AH500" s="56" t="str">
        <f>'[2]Изложницы без бурта'!F500</f>
        <v>72.11870 - 23</v>
      </c>
      <c r="AI500" s="56">
        <f>'[2]Изложницы без бурта'!G500</f>
        <v>0</v>
      </c>
      <c r="AJ500" s="56">
        <f>'[2]Изложницы без бурта'!H500</f>
        <v>0</v>
      </c>
      <c r="AK500" s="56">
        <f>'[2]Изложницы без бурта'!I500</f>
        <v>0</v>
      </c>
      <c r="AL500" s="56" t="s">
        <v>608</v>
      </c>
      <c r="AM500" s="56">
        <f>'[2]Изложницы без бурта'!K500</f>
        <v>0</v>
      </c>
    </row>
    <row r="501" spans="28:39" x14ac:dyDescent="0.25">
      <c r="AB501" s="253" t="str">
        <f t="shared" si="23"/>
        <v/>
      </c>
      <c r="AC501" s="254" t="str">
        <f>IF(COUNTIF(AD$78:AD501,AD501)=1,MAX(AC$78:AC500)+1,"")</f>
        <v/>
      </c>
      <c r="AD501" s="215">
        <f>'[2]Изложницы без бурта'!B501</f>
        <v>195</v>
      </c>
      <c r="AE501" s="215">
        <f>'[2]Изложницы без бурта'!C501</f>
        <v>265</v>
      </c>
      <c r="AF501" s="56">
        <f>'[2]Изложницы без бурта'!D501</f>
        <v>285</v>
      </c>
      <c r="AG501" s="56">
        <f>'[2]Изложницы без бурта'!E501</f>
        <v>320</v>
      </c>
      <c r="AH501" s="56" t="str">
        <f>'[2]Изложницы без бурта'!F501</f>
        <v>72.11870 - 23</v>
      </c>
      <c r="AI501" s="56">
        <f>'[2]Изложницы без бурта'!G501</f>
        <v>0</v>
      </c>
      <c r="AJ501" s="56">
        <f>'[2]Изложницы без бурта'!H501</f>
        <v>0</v>
      </c>
      <c r="AK501" s="56">
        <f>'[2]Изложницы без бурта'!I501</f>
        <v>0</v>
      </c>
      <c r="AL501" s="56" t="s">
        <v>608</v>
      </c>
      <c r="AM501" s="56">
        <f>'[2]Изложницы без бурта'!K501</f>
        <v>0</v>
      </c>
    </row>
    <row r="502" spans="28:39" x14ac:dyDescent="0.25">
      <c r="AB502" s="253" t="str">
        <f t="shared" si="23"/>
        <v/>
      </c>
      <c r="AC502" s="254" t="str">
        <f>IF(COUNTIF(AD$78:AD502,AD502)=1,MAX(AC$78:AC501)+1,"")</f>
        <v/>
      </c>
      <c r="AD502" s="215">
        <f>'[2]Изложницы без бурта'!B502</f>
        <v>195</v>
      </c>
      <c r="AE502" s="215">
        <f>'[2]Изложницы без бурта'!C502</f>
        <v>265</v>
      </c>
      <c r="AF502" s="56">
        <f>'[2]Изложницы без бурта'!D502</f>
        <v>285</v>
      </c>
      <c r="AG502" s="56">
        <f>'[2]Изложницы без бурта'!E502</f>
        <v>320</v>
      </c>
      <c r="AH502" s="56" t="str">
        <f>'[2]Изложницы без бурта'!F502</f>
        <v>72.11870 - 23</v>
      </c>
      <c r="AI502" s="56">
        <f>'[2]Изложницы без бурта'!G502</f>
        <v>0</v>
      </c>
      <c r="AJ502" s="56">
        <f>'[2]Изложницы без бурта'!H502</f>
        <v>0</v>
      </c>
      <c r="AK502" s="56">
        <f>'[2]Изложницы без бурта'!I502</f>
        <v>0</v>
      </c>
      <c r="AL502" s="56" t="s">
        <v>608</v>
      </c>
      <c r="AM502" s="56">
        <f>'[2]Изложницы без бурта'!K502</f>
        <v>0</v>
      </c>
    </row>
    <row r="503" spans="28:39" x14ac:dyDescent="0.25">
      <c r="AB503" s="253" t="str">
        <f t="shared" si="23"/>
        <v/>
      </c>
      <c r="AC503" s="254" t="str">
        <f>IF(COUNTIF(AD$78:AD503,AD503)=1,MAX(AC$78:AC502)+1,"")</f>
        <v/>
      </c>
      <c r="AD503" s="215">
        <f>'[2]Изложницы без бурта'!B503</f>
        <v>195</v>
      </c>
      <c r="AE503" s="215">
        <f>'[2]Изложницы без бурта'!C503</f>
        <v>265</v>
      </c>
      <c r="AF503" s="56">
        <f>'[2]Изложницы без бурта'!D503</f>
        <v>285</v>
      </c>
      <c r="AG503" s="56">
        <f>'[2]Изложницы без бурта'!E503</f>
        <v>320</v>
      </c>
      <c r="AH503" s="56" t="str">
        <f>'[2]Изложницы без бурта'!F503</f>
        <v>72.11870 - 23</v>
      </c>
      <c r="AI503" s="56">
        <f>'[2]Изложницы без бурта'!G503</f>
        <v>0</v>
      </c>
      <c r="AJ503" s="56">
        <f>'[2]Изложницы без бурта'!H503</f>
        <v>0</v>
      </c>
      <c r="AK503" s="56">
        <f>'[2]Изложницы без бурта'!I503</f>
        <v>0</v>
      </c>
      <c r="AL503" s="56" t="s">
        <v>608</v>
      </c>
      <c r="AM503" s="56">
        <f>'[2]Изложницы без бурта'!K503</f>
        <v>0</v>
      </c>
    </row>
    <row r="504" spans="28:39" x14ac:dyDescent="0.25">
      <c r="AB504" s="253" t="str">
        <f t="shared" si="23"/>
        <v/>
      </c>
      <c r="AC504" s="254" t="str">
        <f>IF(COUNTIF(AD$78:AD504,AD504)=1,MAX(AC$78:AC503)+1,"")</f>
        <v/>
      </c>
      <c r="AD504" s="215">
        <f>'[2]Изложницы без бурта'!B504</f>
        <v>195</v>
      </c>
      <c r="AE504" s="215">
        <f>'[2]Изложницы без бурта'!C504</f>
        <v>265</v>
      </c>
      <c r="AF504" s="56">
        <f>'[2]Изложницы без бурта'!D504</f>
        <v>285</v>
      </c>
      <c r="AG504" s="56">
        <f>'[2]Изложницы без бурта'!E504</f>
        <v>320</v>
      </c>
      <c r="AH504" s="56" t="str">
        <f>'[2]Изложницы без бурта'!F504</f>
        <v>72.11870 - 23</v>
      </c>
      <c r="AI504" s="56">
        <f>'[2]Изложницы без бурта'!G504</f>
        <v>0</v>
      </c>
      <c r="AJ504" s="56">
        <f>'[2]Изложницы без бурта'!H504</f>
        <v>0</v>
      </c>
      <c r="AK504" s="56">
        <f>'[2]Изложницы без бурта'!I504</f>
        <v>0</v>
      </c>
      <c r="AL504" s="56" t="s">
        <v>608</v>
      </c>
      <c r="AM504" s="56">
        <f>'[2]Изложницы без бурта'!K504</f>
        <v>0</v>
      </c>
    </row>
    <row r="505" spans="28:39" x14ac:dyDescent="0.25">
      <c r="AB505" s="253" t="str">
        <f t="shared" ref="AB505:AB568" si="24">IF(MAX(AC505:AC1582)&lt;ROW(427:427),"",VLOOKUP(ROW(427:427),AC505:AD1582,2))</f>
        <v/>
      </c>
      <c r="AC505" s="254" t="str">
        <f>IF(COUNTIF(AD$78:AD505,AD505)=1,MAX(AC$78:AC504)+1,"")</f>
        <v/>
      </c>
      <c r="AD505" s="215">
        <f>'[2]Изложницы без бурта'!B505</f>
        <v>195</v>
      </c>
      <c r="AE505" s="215">
        <f>'[2]Изложницы без бурта'!C505</f>
        <v>260</v>
      </c>
      <c r="AF505" s="56">
        <f>'[2]Изложницы без бурта'!D505</f>
        <v>285</v>
      </c>
      <c r="AG505" s="56">
        <f>'[2]Изложницы без бурта'!E505</f>
        <v>320</v>
      </c>
      <c r="AH505" s="56" t="str">
        <f>'[2]Изложницы без бурта'!F505</f>
        <v>72.11870 - 23</v>
      </c>
      <c r="AI505" s="56">
        <f>'[2]Изложницы без бурта'!G505</f>
        <v>0</v>
      </c>
      <c r="AJ505" s="56">
        <f>'[2]Изложницы без бурта'!H505</f>
        <v>0</v>
      </c>
      <c r="AK505" s="56">
        <f>'[2]Изложницы без бурта'!I505</f>
        <v>0</v>
      </c>
      <c r="AL505" s="56" t="s">
        <v>608</v>
      </c>
      <c r="AM505" s="56">
        <f>'[2]Изложницы без бурта'!K505</f>
        <v>0</v>
      </c>
    </row>
    <row r="506" spans="28:39" x14ac:dyDescent="0.25">
      <c r="AB506" s="253" t="str">
        <f t="shared" si="24"/>
        <v/>
      </c>
      <c r="AC506" s="254" t="str">
        <f>IF(COUNTIF(AD$78:AD506,AD506)=1,MAX(AC$78:AC505)+1,"")</f>
        <v/>
      </c>
      <c r="AD506" s="215">
        <f>'[2]Изложницы без бурта'!B506</f>
        <v>195</v>
      </c>
      <c r="AE506" s="215">
        <f>'[2]Изложницы без бурта'!C506</f>
        <v>265</v>
      </c>
      <c r="AF506" s="56">
        <f>'[2]Изложницы без бурта'!D506</f>
        <v>285</v>
      </c>
      <c r="AG506" s="56">
        <f>'[2]Изложницы без бурта'!E506</f>
        <v>320</v>
      </c>
      <c r="AH506" s="56" t="str">
        <f>'[2]Изложницы без бурта'!F506</f>
        <v>72.11870 - 23</v>
      </c>
      <c r="AI506" s="56">
        <f>'[2]Изложницы без бурта'!G506</f>
        <v>0</v>
      </c>
      <c r="AJ506" s="56">
        <f>'[2]Изложницы без бурта'!H506</f>
        <v>0</v>
      </c>
      <c r="AK506" s="56">
        <f>'[2]Изложницы без бурта'!I506</f>
        <v>0</v>
      </c>
      <c r="AL506" s="56" t="s">
        <v>608</v>
      </c>
      <c r="AM506" s="56">
        <f>'[2]Изложницы без бурта'!K506</f>
        <v>0</v>
      </c>
    </row>
    <row r="507" spans="28:39" x14ac:dyDescent="0.25">
      <c r="AB507" s="253" t="str">
        <f t="shared" si="24"/>
        <v/>
      </c>
      <c r="AC507" s="254" t="str">
        <f>IF(COUNTIF(AD$78:AD507,AD507)=1,MAX(AC$78:AC506)+1,"")</f>
        <v/>
      </c>
      <c r="AD507" s="215">
        <f>'[2]Изложницы без бурта'!B507</f>
        <v>195</v>
      </c>
      <c r="AE507" s="215">
        <f>'[2]Изложницы без бурта'!C507</f>
        <v>265</v>
      </c>
      <c r="AF507" s="56">
        <f>'[2]Изложницы без бурта'!D507</f>
        <v>285</v>
      </c>
      <c r="AG507" s="56">
        <f>'[2]Изложницы без бурта'!E507</f>
        <v>320</v>
      </c>
      <c r="AH507" s="56" t="str">
        <f>'[2]Изложницы без бурта'!F507</f>
        <v>72.11870 - 23</v>
      </c>
      <c r="AI507" s="56">
        <f>'[2]Изложницы без бурта'!G507</f>
        <v>0</v>
      </c>
      <c r="AJ507" s="56">
        <f>'[2]Изложницы без бурта'!H507</f>
        <v>0</v>
      </c>
      <c r="AK507" s="56">
        <f>'[2]Изложницы без бурта'!I507</f>
        <v>0</v>
      </c>
      <c r="AL507" s="56" t="s">
        <v>608</v>
      </c>
      <c r="AM507" s="56">
        <f>'[2]Изложницы без бурта'!K507</f>
        <v>0</v>
      </c>
    </row>
    <row r="508" spans="28:39" x14ac:dyDescent="0.25">
      <c r="AB508" s="253" t="str">
        <f t="shared" si="24"/>
        <v/>
      </c>
      <c r="AC508" s="254" t="str">
        <f>IF(COUNTIF(AD$78:AD508,AD508)=1,MAX(AC$78:AC507)+1,"")</f>
        <v/>
      </c>
      <c r="AD508" s="215">
        <f>'[2]Изложницы без бурта'!B508</f>
        <v>195</v>
      </c>
      <c r="AE508" s="215">
        <f>'[2]Изложницы без бурта'!C508</f>
        <v>318</v>
      </c>
      <c r="AF508" s="56">
        <f>'[2]Изложницы без бурта'!D508</f>
        <v>285</v>
      </c>
      <c r="AG508" s="56">
        <f>'[2]Изложницы без бурта'!E508</f>
        <v>320</v>
      </c>
      <c r="AH508" s="56" t="str">
        <f>'[2]Изложницы без бурта'!F508</f>
        <v>72.11871 - 23</v>
      </c>
      <c r="AI508" s="56">
        <f>'[2]Изложницы без бурта'!G508</f>
        <v>7260017</v>
      </c>
      <c r="AJ508" s="56">
        <f>'[2]Изложницы без бурта'!H508</f>
        <v>0</v>
      </c>
      <c r="AK508" s="56">
        <f>'[2]Изложницы без бурта'!I508</f>
        <v>0</v>
      </c>
      <c r="AL508" s="56" t="s">
        <v>608</v>
      </c>
      <c r="AM508" s="56">
        <f>'[2]Изложницы без бурта'!K508</f>
        <v>0</v>
      </c>
    </row>
    <row r="509" spans="28:39" x14ac:dyDescent="0.25">
      <c r="AB509" s="253" t="str">
        <f t="shared" si="24"/>
        <v/>
      </c>
      <c r="AC509" s="254" t="str">
        <f>IF(COUNTIF(AD$78:AD509,AD509)=1,MAX(AC$78:AC508)+1,"")</f>
        <v/>
      </c>
      <c r="AD509" s="215">
        <f>'[2]Изложницы без бурта'!B509</f>
        <v>195</v>
      </c>
      <c r="AE509" s="215">
        <f>'[2]Изложницы без бурта'!C509</f>
        <v>377</v>
      </c>
      <c r="AF509" s="56">
        <f>'[2]Изложницы без бурта'!D509</f>
        <v>285</v>
      </c>
      <c r="AG509" s="56">
        <f>'[2]Изложницы без бурта'!E509</f>
        <v>320</v>
      </c>
      <c r="AH509" s="56" t="str">
        <f>'[2]Изложницы без бурта'!F509</f>
        <v>72.42461 - 23</v>
      </c>
      <c r="AI509" s="56">
        <f>'[2]Изложницы без бурта'!G509</f>
        <v>7260018</v>
      </c>
      <c r="AJ509" s="56">
        <f>'[2]Изложницы без бурта'!H509</f>
        <v>0</v>
      </c>
      <c r="AK509" s="56">
        <f>'[2]Изложницы без бурта'!I509</f>
        <v>0</v>
      </c>
      <c r="AL509" s="56" t="s">
        <v>608</v>
      </c>
      <c r="AM509" s="56">
        <f>'[2]Изложницы без бурта'!K509</f>
        <v>0</v>
      </c>
    </row>
    <row r="510" spans="28:39" x14ac:dyDescent="0.25">
      <c r="AB510" s="253" t="str">
        <f t="shared" si="24"/>
        <v/>
      </c>
      <c r="AC510" s="254" t="str">
        <f>IF(COUNTIF(AD$78:AD510,AD510)=1,MAX(AC$78:AC509)+1,"")</f>
        <v/>
      </c>
      <c r="AD510" s="215">
        <f>'[2]Изложницы без бурта'!B510</f>
        <v>195</v>
      </c>
      <c r="AE510" s="215">
        <f>'[2]Изложницы без бурта'!C510</f>
        <v>263</v>
      </c>
      <c r="AF510" s="56">
        <f>'[2]Изложницы без бурта'!D510</f>
        <v>285</v>
      </c>
      <c r="AG510" s="56">
        <f>'[2]Изложницы без бурта'!E510</f>
        <v>320</v>
      </c>
      <c r="AH510" s="56" t="str">
        <f>'[2]Изложницы без бурта'!F510</f>
        <v>72.11870 - 23</v>
      </c>
      <c r="AI510" s="56">
        <f>'[2]Изложницы без бурта'!G510</f>
        <v>0</v>
      </c>
      <c r="AJ510" s="56">
        <f>'[2]Изложницы без бурта'!H510</f>
        <v>0</v>
      </c>
      <c r="AK510" s="56">
        <f>'[2]Изложницы без бурта'!I510</f>
        <v>0</v>
      </c>
      <c r="AL510" s="56" t="s">
        <v>608</v>
      </c>
      <c r="AM510" s="56">
        <f>'[2]Изложницы без бурта'!K510</f>
        <v>0</v>
      </c>
    </row>
    <row r="511" spans="28:39" x14ac:dyDescent="0.25">
      <c r="AB511" s="253" t="str">
        <f t="shared" si="24"/>
        <v/>
      </c>
      <c r="AC511" s="254" t="str">
        <f>IF(COUNTIF(AD$78:AD511,AD511)=1,MAX(AC$78:AC510)+1,"")</f>
        <v/>
      </c>
      <c r="AD511" s="215">
        <f>'[2]Изложницы без бурта'!B511</f>
        <v>195</v>
      </c>
      <c r="AE511" s="215">
        <f>'[2]Изложницы без бурта'!C511</f>
        <v>377</v>
      </c>
      <c r="AF511" s="56">
        <f>'[2]Изложницы без бурта'!D511</f>
        <v>285</v>
      </c>
      <c r="AG511" s="56">
        <f>'[2]Изложницы без бурта'!E511</f>
        <v>320</v>
      </c>
      <c r="AH511" s="56" t="str">
        <f>'[2]Изложницы без бурта'!F511</f>
        <v>72.42461 - 23</v>
      </c>
      <c r="AI511" s="56">
        <f>'[2]Изложницы без бурта'!G511</f>
        <v>7260018</v>
      </c>
      <c r="AJ511" s="56">
        <f>'[2]Изложницы без бурта'!H511</f>
        <v>0</v>
      </c>
      <c r="AK511" s="56">
        <f>'[2]Изложницы без бурта'!I511</f>
        <v>0</v>
      </c>
      <c r="AL511" s="56" t="s">
        <v>608</v>
      </c>
      <c r="AM511" s="56">
        <f>'[2]Изложницы без бурта'!K511</f>
        <v>0</v>
      </c>
    </row>
    <row r="512" spans="28:39" x14ac:dyDescent="0.25">
      <c r="AB512" s="253" t="str">
        <f t="shared" si="24"/>
        <v/>
      </c>
      <c r="AC512" s="254" t="str">
        <f>IF(COUNTIF(AD$78:AD512,AD512)=1,MAX(AC$78:AC511)+1,"")</f>
        <v/>
      </c>
      <c r="AD512" s="215">
        <f>'[2]Изложницы без бурта'!B512</f>
        <v>195</v>
      </c>
      <c r="AE512" s="215">
        <f>'[2]Изложницы без бурта'!C512</f>
        <v>260</v>
      </c>
      <c r="AF512" s="56">
        <f>'[2]Изложницы без бурта'!D512</f>
        <v>285</v>
      </c>
      <c r="AG512" s="56">
        <f>'[2]Изложницы без бурта'!E512</f>
        <v>320</v>
      </c>
      <c r="AH512" s="56" t="str">
        <f>'[2]Изложницы без бурта'!F512</f>
        <v>72.11870 - 23</v>
      </c>
      <c r="AI512" s="56">
        <f>'[2]Изложницы без бурта'!G512</f>
        <v>0</v>
      </c>
      <c r="AJ512" s="56">
        <f>'[2]Изложницы без бурта'!H512</f>
        <v>0</v>
      </c>
      <c r="AK512" s="56">
        <f>'[2]Изложницы без бурта'!I512</f>
        <v>0</v>
      </c>
      <c r="AL512" s="56" t="s">
        <v>608</v>
      </c>
      <c r="AM512" s="56">
        <f>'[2]Изложницы без бурта'!K512</f>
        <v>0</v>
      </c>
    </row>
    <row r="513" spans="28:39" x14ac:dyDescent="0.25">
      <c r="AB513" s="253" t="str">
        <f t="shared" si="24"/>
        <v/>
      </c>
      <c r="AC513" s="254" t="str">
        <f>IF(COUNTIF(AD$78:AD513,AD513)=1,MAX(AC$78:AC512)+1,"")</f>
        <v/>
      </c>
      <c r="AD513" s="215">
        <f>'[2]Изложницы без бурта'!B513</f>
        <v>195</v>
      </c>
      <c r="AE513" s="215">
        <f>'[2]Изложницы без бурта'!C513</f>
        <v>265</v>
      </c>
      <c r="AF513" s="56">
        <f>'[2]Изложницы без бурта'!D513</f>
        <v>285</v>
      </c>
      <c r="AG513" s="56">
        <f>'[2]Изложницы без бурта'!E513</f>
        <v>320</v>
      </c>
      <c r="AH513" s="56" t="str">
        <f>'[2]Изложницы без бурта'!F513</f>
        <v>72.11870 - 23</v>
      </c>
      <c r="AI513" s="56">
        <f>'[2]Изложницы без бурта'!G513</f>
        <v>0</v>
      </c>
      <c r="AJ513" s="56">
        <f>'[2]Изложницы без бурта'!H513</f>
        <v>0</v>
      </c>
      <c r="AK513" s="56">
        <f>'[2]Изложницы без бурта'!I513</f>
        <v>0</v>
      </c>
      <c r="AL513" s="56" t="s">
        <v>608</v>
      </c>
      <c r="AM513" s="56">
        <f>'[2]Изложницы без бурта'!K513</f>
        <v>0</v>
      </c>
    </row>
    <row r="514" spans="28:39" x14ac:dyDescent="0.25">
      <c r="AB514" s="253" t="str">
        <f t="shared" si="24"/>
        <v/>
      </c>
      <c r="AC514" s="254" t="str">
        <f>IF(COUNTIF(AD$78:AD514,AD514)=1,MAX(AC$78:AC513)+1,"")</f>
        <v/>
      </c>
      <c r="AD514" s="215">
        <f>'[2]Изложницы без бурта'!B514</f>
        <v>195</v>
      </c>
      <c r="AE514" s="215">
        <f>'[2]Изложницы без бурта'!C514</f>
        <v>265</v>
      </c>
      <c r="AF514" s="56">
        <f>'[2]Изложницы без бурта'!D514</f>
        <v>285</v>
      </c>
      <c r="AG514" s="56">
        <f>'[2]Изложницы без бурта'!E514</f>
        <v>320</v>
      </c>
      <c r="AH514" s="56" t="str">
        <f>'[2]Изложницы без бурта'!F514</f>
        <v>72.11870 - 23</v>
      </c>
      <c r="AI514" s="56">
        <f>'[2]Изложницы без бурта'!G514</f>
        <v>0</v>
      </c>
      <c r="AJ514" s="56">
        <f>'[2]Изложницы без бурта'!H514</f>
        <v>0</v>
      </c>
      <c r="AK514" s="56">
        <f>'[2]Изложницы без бурта'!I514</f>
        <v>0</v>
      </c>
      <c r="AL514" s="56" t="s">
        <v>608</v>
      </c>
      <c r="AM514" s="56">
        <f>'[2]Изложницы без бурта'!K514</f>
        <v>0</v>
      </c>
    </row>
    <row r="515" spans="28:39" x14ac:dyDescent="0.25">
      <c r="AB515" s="253" t="str">
        <f t="shared" si="24"/>
        <v/>
      </c>
      <c r="AC515" s="254">
        <f>IF(COUNTIF(AD$78:AD515,AD515)=1,MAX(AC$78:AC514)+1,"")</f>
        <v>44</v>
      </c>
      <c r="AD515" s="215">
        <f>'[2]Изложницы без бурта'!B515</f>
        <v>197.5</v>
      </c>
      <c r="AE515" s="215">
        <f>'[2]Изложницы без бурта'!C515</f>
        <v>265</v>
      </c>
      <c r="AF515" s="56">
        <f>'[2]Изложницы без бурта'!D515</f>
        <v>285</v>
      </c>
      <c r="AG515" s="56">
        <f>'[2]Изложницы без бурта'!E515</f>
        <v>320</v>
      </c>
      <c r="AH515" s="56" t="str">
        <f>'[2]Изложницы без бурта'!F515</f>
        <v>72.11870 - 24</v>
      </c>
      <c r="AI515" s="56">
        <f>'[2]Изложницы без бурта'!G515</f>
        <v>0</v>
      </c>
      <c r="AJ515" s="56">
        <f>'[2]Изложницы без бурта'!H515</f>
        <v>0</v>
      </c>
      <c r="AK515" s="56">
        <f>'[2]Изложницы без бурта'!I515</f>
        <v>0</v>
      </c>
      <c r="AL515" s="56" t="s">
        <v>609</v>
      </c>
      <c r="AM515" s="56">
        <f>'[2]Изложницы без бурта'!K515</f>
        <v>0</v>
      </c>
    </row>
    <row r="516" spans="28:39" x14ac:dyDescent="0.25">
      <c r="AB516" s="253" t="str">
        <f t="shared" si="24"/>
        <v/>
      </c>
      <c r="AC516" s="254" t="str">
        <f>IF(COUNTIF(AD$78:AD516,AD516)=1,MAX(AC$78:AC515)+1,"")</f>
        <v/>
      </c>
      <c r="AD516" s="215">
        <f>'[2]Изложницы без бурта'!B516</f>
        <v>197.5</v>
      </c>
      <c r="AE516" s="215">
        <f>'[2]Изложницы без бурта'!C516</f>
        <v>260</v>
      </c>
      <c r="AF516" s="56">
        <f>'[2]Изложницы без бурта'!D516</f>
        <v>285</v>
      </c>
      <c r="AG516" s="56">
        <f>'[2]Изложницы без бурта'!E516</f>
        <v>320</v>
      </c>
      <c r="AH516" s="56" t="str">
        <f>'[2]Изложницы без бурта'!F516</f>
        <v>72.11870 - 24</v>
      </c>
      <c r="AI516" s="56">
        <f>'[2]Изложницы без бурта'!G516</f>
        <v>0</v>
      </c>
      <c r="AJ516" s="56">
        <f>'[2]Изложницы без бурта'!H516</f>
        <v>0</v>
      </c>
      <c r="AK516" s="56">
        <f>'[2]Изложницы без бурта'!I516</f>
        <v>0</v>
      </c>
      <c r="AL516" s="56" t="s">
        <v>609</v>
      </c>
      <c r="AM516" s="56">
        <f>'[2]Изложницы без бурта'!K516</f>
        <v>0</v>
      </c>
    </row>
    <row r="517" spans="28:39" x14ac:dyDescent="0.25">
      <c r="AB517" s="253" t="str">
        <f t="shared" si="24"/>
        <v/>
      </c>
      <c r="AC517" s="254" t="str">
        <f>IF(COUNTIF(AD$78:AD517,AD517)=1,MAX(AC$78:AC516)+1,"")</f>
        <v/>
      </c>
      <c r="AD517" s="215">
        <f>'[2]Изложницы без бурта'!B517</f>
        <v>197.5</v>
      </c>
      <c r="AE517" s="215">
        <f>'[2]Изложницы без бурта'!C517</f>
        <v>260</v>
      </c>
      <c r="AF517" s="56">
        <f>'[2]Изложницы без бурта'!D517</f>
        <v>285</v>
      </c>
      <c r="AG517" s="56">
        <f>'[2]Изложницы без бурта'!E517</f>
        <v>320</v>
      </c>
      <c r="AH517" s="56" t="str">
        <f>'[2]Изложницы без бурта'!F517</f>
        <v>72.11870 - 24</v>
      </c>
      <c r="AI517" s="56">
        <f>'[2]Изложницы без бурта'!G517</f>
        <v>0</v>
      </c>
      <c r="AJ517" s="56">
        <f>'[2]Изложницы без бурта'!H517</f>
        <v>0</v>
      </c>
      <c r="AK517" s="56">
        <f>'[2]Изложницы без бурта'!I517</f>
        <v>0</v>
      </c>
      <c r="AL517" s="56" t="s">
        <v>609</v>
      </c>
      <c r="AM517" s="56">
        <f>'[2]Изложницы без бурта'!K517</f>
        <v>0</v>
      </c>
    </row>
    <row r="518" spans="28:39" x14ac:dyDescent="0.25">
      <c r="AB518" s="253" t="str">
        <f t="shared" si="24"/>
        <v/>
      </c>
      <c r="AC518" s="254" t="str">
        <f>IF(COUNTIF(AD$78:AD518,AD518)=1,MAX(AC$78:AC517)+1,"")</f>
        <v/>
      </c>
      <c r="AD518" s="215">
        <f>'[2]Изложницы без бурта'!B518</f>
        <v>197.5</v>
      </c>
      <c r="AE518" s="215">
        <f>'[2]Изложницы без бурта'!C518</f>
        <v>265</v>
      </c>
      <c r="AF518" s="56">
        <f>'[2]Изложницы без бурта'!D518</f>
        <v>285</v>
      </c>
      <c r="AG518" s="56">
        <f>'[2]Изложницы без бурта'!E518</f>
        <v>320</v>
      </c>
      <c r="AH518" s="56" t="str">
        <f>'[2]Изложницы без бурта'!F518</f>
        <v>72.11870 - 24</v>
      </c>
      <c r="AI518" s="56">
        <f>'[2]Изложницы без бурта'!G518</f>
        <v>0</v>
      </c>
      <c r="AJ518" s="56">
        <f>'[2]Изложницы без бурта'!H518</f>
        <v>0</v>
      </c>
      <c r="AK518" s="56">
        <f>'[2]Изложницы без бурта'!I518</f>
        <v>0</v>
      </c>
      <c r="AL518" s="56" t="s">
        <v>609</v>
      </c>
      <c r="AM518" s="56">
        <f>'[2]Изложницы без бурта'!K518</f>
        <v>0</v>
      </c>
    </row>
    <row r="519" spans="28:39" x14ac:dyDescent="0.25">
      <c r="AB519" s="253" t="str">
        <f t="shared" si="24"/>
        <v/>
      </c>
      <c r="AC519" s="254" t="str">
        <f>IF(COUNTIF(AD$78:AD519,AD519)=1,MAX(AC$78:AC518)+1,"")</f>
        <v/>
      </c>
      <c r="AD519" s="215">
        <f>'[2]Изложницы без бурта'!B519</f>
        <v>197.5</v>
      </c>
      <c r="AE519" s="215">
        <f>'[2]Изложницы без бурта'!C519</f>
        <v>265</v>
      </c>
      <c r="AF519" s="56">
        <f>'[2]Изложницы без бурта'!D519</f>
        <v>285</v>
      </c>
      <c r="AG519" s="56">
        <f>'[2]Изложницы без бурта'!E519</f>
        <v>320</v>
      </c>
      <c r="AH519" s="56" t="str">
        <f>'[2]Изложницы без бурта'!F519</f>
        <v>72.11870 - 24</v>
      </c>
      <c r="AI519" s="56">
        <f>'[2]Изложницы без бурта'!G519</f>
        <v>0</v>
      </c>
      <c r="AJ519" s="56">
        <f>'[2]Изложницы без бурта'!H519</f>
        <v>0</v>
      </c>
      <c r="AK519" s="56">
        <f>'[2]Изложницы без бурта'!I519</f>
        <v>0</v>
      </c>
      <c r="AL519" s="56" t="s">
        <v>609</v>
      </c>
      <c r="AM519" s="56">
        <f>'[2]Изложницы без бурта'!K519</f>
        <v>0</v>
      </c>
    </row>
    <row r="520" spans="28:39" x14ac:dyDescent="0.25">
      <c r="AB520" s="253" t="str">
        <f t="shared" si="24"/>
        <v/>
      </c>
      <c r="AC520" s="254" t="str">
        <f>IF(COUNTIF(AD$78:AD520,AD520)=1,MAX(AC$78:AC519)+1,"")</f>
        <v/>
      </c>
      <c r="AD520" s="215">
        <f>'[2]Изложницы без бурта'!B520</f>
        <v>197.5</v>
      </c>
      <c r="AE520" s="215">
        <f>'[2]Изложницы без бурта'!C520</f>
        <v>263</v>
      </c>
      <c r="AF520" s="56">
        <f>'[2]Изложницы без бурта'!D520</f>
        <v>285</v>
      </c>
      <c r="AG520" s="56">
        <f>'[2]Изложницы без бурта'!E520</f>
        <v>320</v>
      </c>
      <c r="AH520" s="56" t="str">
        <f>'[2]Изложницы без бурта'!F520</f>
        <v>72.11870 - 24</v>
      </c>
      <c r="AI520" s="56">
        <f>'[2]Изложницы без бурта'!G520</f>
        <v>0</v>
      </c>
      <c r="AJ520" s="56">
        <f>'[2]Изложницы без бурта'!H520</f>
        <v>0</v>
      </c>
      <c r="AK520" s="56">
        <f>'[2]Изложницы без бурта'!I520</f>
        <v>0</v>
      </c>
      <c r="AL520" s="56" t="s">
        <v>609</v>
      </c>
      <c r="AM520" s="56">
        <f>'[2]Изложницы без бурта'!K520</f>
        <v>0</v>
      </c>
    </row>
    <row r="521" spans="28:39" x14ac:dyDescent="0.25">
      <c r="AB521" s="253" t="str">
        <f t="shared" si="24"/>
        <v/>
      </c>
      <c r="AC521" s="254" t="str">
        <f>IF(COUNTIF(AD$78:AD521,AD521)=1,MAX(AC$78:AC520)+1,"")</f>
        <v/>
      </c>
      <c r="AD521" s="215">
        <f>'[2]Изложницы без бурта'!B521</f>
        <v>197.5</v>
      </c>
      <c r="AE521" s="215">
        <f>'[2]Изложницы без бурта'!C521</f>
        <v>318</v>
      </c>
      <c r="AF521" s="56">
        <f>'[2]Изложницы без бурта'!D521</f>
        <v>285</v>
      </c>
      <c r="AG521" s="56">
        <f>'[2]Изложницы без бурта'!E521</f>
        <v>320</v>
      </c>
      <c r="AH521" s="56" t="str">
        <f>'[2]Изложницы без бурта'!F521</f>
        <v>72.11871 - 24</v>
      </c>
      <c r="AI521" s="56">
        <f>'[2]Изложницы без бурта'!G521</f>
        <v>0</v>
      </c>
      <c r="AJ521" s="56">
        <f>'[2]Изложницы без бурта'!H521</f>
        <v>0</v>
      </c>
      <c r="AK521" s="56">
        <f>'[2]Изложницы без бурта'!I521</f>
        <v>0</v>
      </c>
      <c r="AL521" s="56" t="s">
        <v>609</v>
      </c>
      <c r="AM521" s="56">
        <f>'[2]Изложницы без бурта'!K521</f>
        <v>0</v>
      </c>
    </row>
    <row r="522" spans="28:39" x14ac:dyDescent="0.25">
      <c r="AB522" s="253" t="str">
        <f t="shared" si="24"/>
        <v/>
      </c>
      <c r="AC522" s="254" t="str">
        <f>IF(COUNTIF(AD$78:AD522,AD522)=1,MAX(AC$78:AC521)+1,"")</f>
        <v/>
      </c>
      <c r="AD522" s="215">
        <f>'[2]Изложницы без бурта'!B522</f>
        <v>197.5</v>
      </c>
      <c r="AE522" s="215">
        <f>'[2]Изложницы без бурта'!C522</f>
        <v>325</v>
      </c>
      <c r="AF522" s="56">
        <f>'[2]Изложницы без бурта'!D522</f>
        <v>285</v>
      </c>
      <c r="AG522" s="56">
        <f>'[2]Изложницы без бурта'!E522</f>
        <v>320</v>
      </c>
      <c r="AH522" s="56" t="str">
        <f>'[2]Изложницы без бурта'!F522</f>
        <v>72.11871 - 24</v>
      </c>
      <c r="AI522" s="56">
        <f>'[2]Изложницы без бурта'!G522</f>
        <v>0</v>
      </c>
      <c r="AJ522" s="56">
        <f>'[2]Изложницы без бурта'!H522</f>
        <v>0</v>
      </c>
      <c r="AK522" s="56">
        <f>'[2]Изложницы без бурта'!I522</f>
        <v>0</v>
      </c>
      <c r="AL522" s="56" t="s">
        <v>609</v>
      </c>
      <c r="AM522" s="56">
        <f>'[2]Изложницы без бурта'!K522</f>
        <v>0</v>
      </c>
    </row>
    <row r="523" spans="28:39" x14ac:dyDescent="0.25">
      <c r="AB523" s="253" t="str">
        <f t="shared" si="24"/>
        <v/>
      </c>
      <c r="AC523" s="254" t="str">
        <f>IF(COUNTIF(AD$78:AD523,AD523)=1,MAX(AC$78:AC522)+1,"")</f>
        <v/>
      </c>
      <c r="AD523" s="215">
        <f>'[2]Изложницы без бурта'!B523</f>
        <v>197.5</v>
      </c>
      <c r="AE523" s="215">
        <f>'[2]Изложницы без бурта'!C523</f>
        <v>265</v>
      </c>
      <c r="AF523" s="56">
        <f>'[2]Изложницы без бурта'!D523</f>
        <v>285</v>
      </c>
      <c r="AG523" s="56">
        <f>'[2]Изложницы без бурта'!E523</f>
        <v>320</v>
      </c>
      <c r="AH523" s="56" t="str">
        <f>'[2]Изложницы без бурта'!F523</f>
        <v>72.11870 - 24</v>
      </c>
      <c r="AI523" s="56">
        <f>'[2]Изложницы без бурта'!G523</f>
        <v>0</v>
      </c>
      <c r="AJ523" s="56">
        <f>'[2]Изложницы без бурта'!H523</f>
        <v>0</v>
      </c>
      <c r="AK523" s="56">
        <f>'[2]Изложницы без бурта'!I523</f>
        <v>0</v>
      </c>
      <c r="AL523" s="56" t="s">
        <v>609</v>
      </c>
      <c r="AM523" s="56">
        <f>'[2]Изложницы без бурта'!K523</f>
        <v>0</v>
      </c>
    </row>
    <row r="524" spans="28:39" x14ac:dyDescent="0.25">
      <c r="AB524" s="253" t="str">
        <f t="shared" si="24"/>
        <v/>
      </c>
      <c r="AC524" s="254" t="str">
        <f>IF(COUNTIF(AD$78:AD524,AD524)=1,MAX(AC$78:AC523)+1,"")</f>
        <v/>
      </c>
      <c r="AD524" s="215">
        <f>'[2]Изложницы без бурта'!B524</f>
        <v>197.5</v>
      </c>
      <c r="AE524" s="215">
        <f>'[2]Изложницы без бурта'!C524</f>
        <v>265</v>
      </c>
      <c r="AF524" s="56">
        <f>'[2]Изложницы без бурта'!D524</f>
        <v>285</v>
      </c>
      <c r="AG524" s="56">
        <f>'[2]Изложницы без бурта'!E524</f>
        <v>320</v>
      </c>
      <c r="AH524" s="56" t="str">
        <f>'[2]Изложницы без бурта'!F524</f>
        <v>72.11870 - 24</v>
      </c>
      <c r="AI524" s="56">
        <f>'[2]Изложницы без бурта'!G524</f>
        <v>0</v>
      </c>
      <c r="AJ524" s="56">
        <f>'[2]Изложницы без бурта'!H524</f>
        <v>0</v>
      </c>
      <c r="AK524" s="56">
        <f>'[2]Изложницы без бурта'!I524</f>
        <v>0</v>
      </c>
      <c r="AL524" s="56" t="s">
        <v>609</v>
      </c>
      <c r="AM524" s="56">
        <f>'[2]Изложницы без бурта'!K524</f>
        <v>0</v>
      </c>
    </row>
    <row r="525" spans="28:39" x14ac:dyDescent="0.25">
      <c r="AB525" s="253" t="str">
        <f t="shared" si="24"/>
        <v/>
      </c>
      <c r="AC525" s="254" t="str">
        <f>IF(COUNTIF(AD$78:AD525,AD525)=1,MAX(AC$78:AC524)+1,"")</f>
        <v/>
      </c>
      <c r="AD525" s="215">
        <f>'[2]Изложницы без бурта'!B525</f>
        <v>197.5</v>
      </c>
      <c r="AE525" s="215">
        <f>'[2]Изложницы без бурта'!C525</f>
        <v>260</v>
      </c>
      <c r="AF525" s="56">
        <f>'[2]Изложницы без бурта'!D525</f>
        <v>285</v>
      </c>
      <c r="AG525" s="56">
        <f>'[2]Изложницы без бурта'!E525</f>
        <v>320</v>
      </c>
      <c r="AH525" s="56" t="str">
        <f>'[2]Изложницы без бурта'!F525</f>
        <v>72.11870 - 24</v>
      </c>
      <c r="AI525" s="56">
        <f>'[2]Изложницы без бурта'!G525</f>
        <v>0</v>
      </c>
      <c r="AJ525" s="56">
        <f>'[2]Изложницы без бурта'!H525</f>
        <v>0</v>
      </c>
      <c r="AK525" s="56">
        <f>'[2]Изложницы без бурта'!I525</f>
        <v>0</v>
      </c>
      <c r="AL525" s="56" t="s">
        <v>609</v>
      </c>
      <c r="AM525" s="56">
        <f>'[2]Изложницы без бурта'!K525</f>
        <v>0</v>
      </c>
    </row>
    <row r="526" spans="28:39" x14ac:dyDescent="0.25">
      <c r="AB526" s="253" t="str">
        <f t="shared" si="24"/>
        <v/>
      </c>
      <c r="AC526" s="254" t="str">
        <f>IF(COUNTIF(AD$78:AD526,AD526)=1,MAX(AC$78:AC525)+1,"")</f>
        <v/>
      </c>
      <c r="AD526" s="215">
        <f>'[2]Изложницы без бурта'!B526</f>
        <v>197.5</v>
      </c>
      <c r="AE526" s="215">
        <f>'[2]Изложницы без бурта'!C526</f>
        <v>378</v>
      </c>
      <c r="AF526" s="56">
        <f>'[2]Изложницы без бурта'!D526</f>
        <v>285</v>
      </c>
      <c r="AG526" s="56">
        <f>'[2]Изложницы без бурта'!E526</f>
        <v>320</v>
      </c>
      <c r="AH526" s="56" t="str">
        <f>'[2]Изложницы без бурта'!F526</f>
        <v>72.42461 - 24</v>
      </c>
      <c r="AI526" s="56">
        <f>'[2]Изложницы без бурта'!G526</f>
        <v>0</v>
      </c>
      <c r="AJ526" s="56">
        <f>'[2]Изложницы без бурта'!H526</f>
        <v>0</v>
      </c>
      <c r="AK526" s="56">
        <f>'[2]Изложницы без бурта'!I526</f>
        <v>0</v>
      </c>
      <c r="AL526" s="56" t="s">
        <v>609</v>
      </c>
      <c r="AM526" s="56">
        <f>'[2]Изложницы без бурта'!K526</f>
        <v>0</v>
      </c>
    </row>
    <row r="527" spans="28:39" x14ac:dyDescent="0.25">
      <c r="AB527" s="253" t="str">
        <f t="shared" si="24"/>
        <v/>
      </c>
      <c r="AC527" s="254" t="str">
        <f>IF(COUNTIF(AD$78:AD527,AD527)=1,MAX(AC$78:AC526)+1,"")</f>
        <v/>
      </c>
      <c r="AD527" s="215">
        <f>'[2]Изложницы без бурта'!B527</f>
        <v>197.5</v>
      </c>
      <c r="AE527" s="215">
        <f>'[2]Изложницы без бурта'!C527</f>
        <v>318</v>
      </c>
      <c r="AF527" s="56">
        <f>'[2]Изложницы без бурта'!D527</f>
        <v>285</v>
      </c>
      <c r="AG527" s="56">
        <f>'[2]Изложницы без бурта'!E527</f>
        <v>320</v>
      </c>
      <c r="AH527" s="56" t="str">
        <f>'[2]Изложницы без бурта'!F527</f>
        <v>72.11871 - 24</v>
      </c>
      <c r="AI527" s="56">
        <f>'[2]Изложницы без бурта'!G527</f>
        <v>0</v>
      </c>
      <c r="AJ527" s="56">
        <f>'[2]Изложницы без бурта'!H527</f>
        <v>0</v>
      </c>
      <c r="AK527" s="56">
        <f>'[2]Изложницы без бурта'!I527</f>
        <v>0</v>
      </c>
      <c r="AL527" s="56" t="s">
        <v>609</v>
      </c>
      <c r="AM527" s="56">
        <f>'[2]Изложницы без бурта'!K527</f>
        <v>0</v>
      </c>
    </row>
    <row r="528" spans="28:39" x14ac:dyDescent="0.25">
      <c r="AB528" s="253" t="str">
        <f t="shared" si="24"/>
        <v/>
      </c>
      <c r="AC528" s="254" t="str">
        <f>IF(COUNTIF(AD$78:AD528,AD528)=1,MAX(AC$78:AC527)+1,"")</f>
        <v/>
      </c>
      <c r="AD528" s="215">
        <f>'[2]Изложницы без бурта'!B528</f>
        <v>197.5</v>
      </c>
      <c r="AE528" s="215">
        <f>'[2]Изложницы без бурта'!C528</f>
        <v>263</v>
      </c>
      <c r="AF528" s="56">
        <f>'[2]Изложницы без бурта'!D528</f>
        <v>285</v>
      </c>
      <c r="AG528" s="56">
        <f>'[2]Изложницы без бурта'!E528</f>
        <v>320</v>
      </c>
      <c r="AH528" s="56" t="str">
        <f>'[2]Изложницы без бурта'!F528</f>
        <v>72.11870 - 24</v>
      </c>
      <c r="AI528" s="56">
        <f>'[2]Изложницы без бурта'!G528</f>
        <v>0</v>
      </c>
      <c r="AJ528" s="56">
        <f>'[2]Изложницы без бурта'!H528</f>
        <v>0</v>
      </c>
      <c r="AK528" s="56">
        <f>'[2]Изложницы без бурта'!I528</f>
        <v>0</v>
      </c>
      <c r="AL528" s="56" t="s">
        <v>609</v>
      </c>
      <c r="AM528" s="56">
        <f>'[2]Изложницы без бурта'!K528</f>
        <v>0</v>
      </c>
    </row>
    <row r="529" spans="28:39" x14ac:dyDescent="0.25">
      <c r="AB529" s="253" t="str">
        <f t="shared" si="24"/>
        <v/>
      </c>
      <c r="AC529" s="254" t="str">
        <f>IF(COUNTIF(AD$78:AD529,AD529)=1,MAX(AC$78:AC528)+1,"")</f>
        <v/>
      </c>
      <c r="AD529" s="215">
        <f>'[2]Изложницы без бурта'!B529</f>
        <v>197.5</v>
      </c>
      <c r="AE529" s="215">
        <f>'[2]Изложницы без бурта'!C529</f>
        <v>265</v>
      </c>
      <c r="AF529" s="56">
        <f>'[2]Изложницы без бурта'!D529</f>
        <v>285</v>
      </c>
      <c r="AG529" s="56">
        <f>'[2]Изложницы без бурта'!E529</f>
        <v>320</v>
      </c>
      <c r="AH529" s="56" t="str">
        <f>'[2]Изложницы без бурта'!F529</f>
        <v>72.11870 - 24</v>
      </c>
      <c r="AI529" s="56">
        <f>'[2]Изложницы без бурта'!G529</f>
        <v>0</v>
      </c>
      <c r="AJ529" s="56">
        <f>'[2]Изложницы без бурта'!H529</f>
        <v>0</v>
      </c>
      <c r="AK529" s="56">
        <f>'[2]Изложницы без бурта'!I529</f>
        <v>0</v>
      </c>
      <c r="AL529" s="56" t="s">
        <v>609</v>
      </c>
      <c r="AM529" s="56">
        <f>'[2]Изложницы без бурта'!K529</f>
        <v>0</v>
      </c>
    </row>
    <row r="530" spans="28:39" x14ac:dyDescent="0.25">
      <c r="AB530" s="253" t="str">
        <f t="shared" si="24"/>
        <v/>
      </c>
      <c r="AC530" s="254" t="str">
        <f>IF(COUNTIF(AD$78:AD530,AD530)=1,MAX(AC$78:AC529)+1,"")</f>
        <v/>
      </c>
      <c r="AD530" s="215">
        <f>'[2]Изложницы без бурта'!B530</f>
        <v>197.5</v>
      </c>
      <c r="AE530" s="215">
        <f>'[2]Изложницы без бурта'!C530</f>
        <v>375</v>
      </c>
      <c r="AF530" s="56">
        <f>'[2]Изложницы без бурта'!D530</f>
        <v>285</v>
      </c>
      <c r="AG530" s="56">
        <f>'[2]Изложницы без бурта'!E530</f>
        <v>320</v>
      </c>
      <c r="AH530" s="56" t="str">
        <f>'[2]Изложницы без бурта'!F530</f>
        <v>72.42461 - 24</v>
      </c>
      <c r="AI530" s="56">
        <f>'[2]Изложницы без бурта'!G530</f>
        <v>0</v>
      </c>
      <c r="AJ530" s="56">
        <f>'[2]Изложницы без бурта'!H530</f>
        <v>0</v>
      </c>
      <c r="AK530" s="56">
        <f>'[2]Изложницы без бурта'!I530</f>
        <v>0</v>
      </c>
      <c r="AL530" s="56" t="s">
        <v>609</v>
      </c>
      <c r="AM530" s="56">
        <f>'[2]Изложницы без бурта'!K530</f>
        <v>0</v>
      </c>
    </row>
    <row r="531" spans="28:39" x14ac:dyDescent="0.25">
      <c r="AB531" s="253" t="str">
        <f t="shared" si="24"/>
        <v/>
      </c>
      <c r="AC531" s="254">
        <f>IF(COUNTIF(AD$78:AD531,AD531)=1,MAX(AC$78:AC530)+1,"")</f>
        <v>45</v>
      </c>
      <c r="AD531" s="215">
        <f>'[2]Изложницы без бурта'!B531</f>
        <v>200</v>
      </c>
      <c r="AE531" s="215">
        <f>'[2]Изложницы без бурта'!C531</f>
        <v>265</v>
      </c>
      <c r="AF531" s="56">
        <f>'[2]Изложницы без бурта'!D531</f>
        <v>285</v>
      </c>
      <c r="AG531" s="56">
        <f>'[2]Изложницы без бурта'!E531</f>
        <v>320</v>
      </c>
      <c r="AH531" s="56" t="str">
        <f>'[2]Изложницы без бурта'!F531</f>
        <v>72.11870 - 25</v>
      </c>
      <c r="AI531" s="56">
        <f>'[2]Изложницы без бурта'!G531</f>
        <v>0</v>
      </c>
      <c r="AJ531" s="56">
        <f>'[2]Изложницы без бурта'!H531</f>
        <v>0</v>
      </c>
      <c r="AK531" s="56">
        <f>'[2]Изложницы без бурта'!I531</f>
        <v>0</v>
      </c>
      <c r="AL531" s="56" t="s">
        <v>610</v>
      </c>
      <c r="AM531" s="56">
        <f>'[2]Изложницы без бурта'!K531</f>
        <v>0</v>
      </c>
    </row>
    <row r="532" spans="28:39" x14ac:dyDescent="0.25">
      <c r="AB532" s="253" t="str">
        <f t="shared" si="24"/>
        <v/>
      </c>
      <c r="AC532" s="254" t="str">
        <f>IF(COUNTIF(AD$78:AD532,AD532)=1,MAX(AC$78:AC531)+1,"")</f>
        <v/>
      </c>
      <c r="AD532" s="215">
        <f>'[2]Изложницы без бурта'!B532</f>
        <v>200</v>
      </c>
      <c r="AE532" s="215">
        <f>'[2]Изложницы без бурта'!C532</f>
        <v>265</v>
      </c>
      <c r="AF532" s="56">
        <f>'[2]Изложницы без бурта'!D532</f>
        <v>285</v>
      </c>
      <c r="AG532" s="56">
        <f>'[2]Изложницы без бурта'!E532</f>
        <v>320</v>
      </c>
      <c r="AH532" s="56" t="str">
        <f>'[2]Изложницы без бурта'!F532</f>
        <v>72.11870 - 25</v>
      </c>
      <c r="AI532" s="56">
        <f>'[2]Изложницы без бурта'!G532</f>
        <v>0</v>
      </c>
      <c r="AJ532" s="56">
        <f>'[2]Изложницы без бурта'!H532</f>
        <v>0</v>
      </c>
      <c r="AK532" s="56">
        <f>'[2]Изложницы без бурта'!I532</f>
        <v>0</v>
      </c>
      <c r="AL532" s="56" t="s">
        <v>610</v>
      </c>
      <c r="AM532" s="56">
        <f>'[2]Изложницы без бурта'!K532</f>
        <v>0</v>
      </c>
    </row>
    <row r="533" spans="28:39" x14ac:dyDescent="0.25">
      <c r="AB533" s="253" t="str">
        <f t="shared" si="24"/>
        <v/>
      </c>
      <c r="AC533" s="254" t="str">
        <f>IF(COUNTIF(AD$78:AD533,AD533)=1,MAX(AC$78:AC532)+1,"")</f>
        <v/>
      </c>
      <c r="AD533" s="215">
        <f>'[2]Изложницы без бурта'!B533</f>
        <v>200</v>
      </c>
      <c r="AE533" s="215">
        <f>'[2]Изложницы без бурта'!C533</f>
        <v>265</v>
      </c>
      <c r="AF533" s="56">
        <f>'[2]Изложницы без бурта'!D533</f>
        <v>285</v>
      </c>
      <c r="AG533" s="56">
        <f>'[2]Изложницы без бурта'!E533</f>
        <v>320</v>
      </c>
      <c r="AH533" s="56" t="str">
        <f>'[2]Изложницы без бурта'!F533</f>
        <v>72.11870 - 25</v>
      </c>
      <c r="AI533" s="56">
        <f>'[2]Изложницы без бурта'!G533</f>
        <v>0</v>
      </c>
      <c r="AJ533" s="56">
        <f>'[2]Изложницы без бурта'!H533</f>
        <v>0</v>
      </c>
      <c r="AK533" s="56">
        <f>'[2]Изложницы без бурта'!I533</f>
        <v>0</v>
      </c>
      <c r="AL533" s="56" t="s">
        <v>610</v>
      </c>
      <c r="AM533" s="56">
        <f>'[2]Изложницы без бурта'!K533</f>
        <v>0</v>
      </c>
    </row>
    <row r="534" spans="28:39" x14ac:dyDescent="0.25">
      <c r="AB534" s="253" t="str">
        <f t="shared" si="24"/>
        <v/>
      </c>
      <c r="AC534" s="254" t="str">
        <f>IF(COUNTIF(AD$78:AD534,AD534)=1,MAX(AC$78:AC533)+1,"")</f>
        <v/>
      </c>
      <c r="AD534" s="215">
        <f>'[2]Изложницы без бурта'!B534</f>
        <v>200</v>
      </c>
      <c r="AE534" s="215">
        <f>'[2]Изложницы без бурта'!C534</f>
        <v>410</v>
      </c>
      <c r="AF534" s="56">
        <f>'[2]Изложницы без бурта'!D534</f>
        <v>285</v>
      </c>
      <c r="AG534" s="56">
        <f>'[2]Изложницы без бурта'!E534</f>
        <v>320</v>
      </c>
      <c r="AH534" s="56" t="str">
        <f>'[2]Изложницы без бурта'!F534</f>
        <v>72.42346 - 01</v>
      </c>
      <c r="AI534" s="56">
        <f>'[2]Изложницы без бурта'!G534</f>
        <v>7260019</v>
      </c>
      <c r="AJ534" s="56">
        <f>'[2]Изложницы без бурта'!H534</f>
        <v>0</v>
      </c>
      <c r="AK534" s="56">
        <f>'[2]Изложницы без бурта'!I534</f>
        <v>0</v>
      </c>
      <c r="AL534" s="56" t="s">
        <v>610</v>
      </c>
      <c r="AM534" s="56">
        <f>'[2]Изложницы без бурта'!K534</f>
        <v>0</v>
      </c>
    </row>
    <row r="535" spans="28:39" x14ac:dyDescent="0.25">
      <c r="AB535" s="253" t="str">
        <f t="shared" si="24"/>
        <v/>
      </c>
      <c r="AC535" s="254" t="str">
        <f>IF(COUNTIF(AD$78:AD535,AD535)=1,MAX(AC$78:AC534)+1,"")</f>
        <v/>
      </c>
      <c r="AD535" s="215">
        <f>'[2]Изложницы без бурта'!B535</f>
        <v>200</v>
      </c>
      <c r="AE535" s="215">
        <f>'[2]Изложницы без бурта'!C535</f>
        <v>265</v>
      </c>
      <c r="AF535" s="56">
        <f>'[2]Изложницы без бурта'!D535</f>
        <v>285</v>
      </c>
      <c r="AG535" s="56">
        <f>'[2]Изложницы без бурта'!E535</f>
        <v>320</v>
      </c>
      <c r="AH535" s="56" t="str">
        <f>'[2]Изложницы без бурта'!F535</f>
        <v>72.11870 - 25</v>
      </c>
      <c r="AI535" s="56">
        <f>'[2]Изложницы без бурта'!G535</f>
        <v>0</v>
      </c>
      <c r="AJ535" s="56">
        <f>'[2]Изложницы без бурта'!H535</f>
        <v>0</v>
      </c>
      <c r="AK535" s="56">
        <f>'[2]Изложницы без бурта'!I535</f>
        <v>0</v>
      </c>
      <c r="AL535" s="56" t="s">
        <v>610</v>
      </c>
      <c r="AM535" s="56">
        <f>'[2]Изложницы без бурта'!K535</f>
        <v>0</v>
      </c>
    </row>
    <row r="536" spans="28:39" x14ac:dyDescent="0.25">
      <c r="AB536" s="253" t="str">
        <f t="shared" si="24"/>
        <v/>
      </c>
      <c r="AC536" s="254" t="str">
        <f>IF(COUNTIF(AD$78:AD536,AD536)=1,MAX(AC$78:AC535)+1,"")</f>
        <v/>
      </c>
      <c r="AD536" s="215">
        <f>'[2]Изложницы без бурта'!B536</f>
        <v>200</v>
      </c>
      <c r="AE536" s="215">
        <f>'[2]Изложницы без бурта'!C536</f>
        <v>265</v>
      </c>
      <c r="AF536" s="56">
        <f>'[2]Изложницы без бурта'!D536</f>
        <v>285</v>
      </c>
      <c r="AG536" s="56">
        <f>'[2]Изложницы без бурта'!E536</f>
        <v>320</v>
      </c>
      <c r="AH536" s="56" t="str">
        <f>'[2]Изложницы без бурта'!F536</f>
        <v>72.11870 - 25</v>
      </c>
      <c r="AI536" s="56">
        <f>'[2]Изложницы без бурта'!G536</f>
        <v>0</v>
      </c>
      <c r="AJ536" s="56">
        <f>'[2]Изложницы без бурта'!H536</f>
        <v>0</v>
      </c>
      <c r="AK536" s="56">
        <f>'[2]Изложницы без бурта'!I536</f>
        <v>0</v>
      </c>
      <c r="AL536" s="56" t="s">
        <v>610</v>
      </c>
      <c r="AM536" s="56">
        <f>'[2]Изложницы без бурта'!K536</f>
        <v>0</v>
      </c>
    </row>
    <row r="537" spans="28:39" x14ac:dyDescent="0.25">
      <c r="AB537" s="253" t="str">
        <f t="shared" si="24"/>
        <v/>
      </c>
      <c r="AC537" s="254" t="str">
        <f>IF(COUNTIF(AD$78:AD537,AD537)=1,MAX(AC$78:AC536)+1,"")</f>
        <v/>
      </c>
      <c r="AD537" s="215">
        <f>'[2]Изложницы без бурта'!B537</f>
        <v>200</v>
      </c>
      <c r="AE537" s="215">
        <f>'[2]Изложницы без бурта'!C537</f>
        <v>260</v>
      </c>
      <c r="AF537" s="56">
        <f>'[2]Изложницы без бурта'!D537</f>
        <v>285</v>
      </c>
      <c r="AG537" s="56">
        <f>'[2]Изложницы без бурта'!E537</f>
        <v>320</v>
      </c>
      <c r="AH537" s="56" t="str">
        <f>'[2]Изложницы без бурта'!F537</f>
        <v>72.11870 - 25</v>
      </c>
      <c r="AI537" s="56">
        <f>'[2]Изложницы без бурта'!G537</f>
        <v>0</v>
      </c>
      <c r="AJ537" s="56">
        <f>'[2]Изложницы без бурта'!H537</f>
        <v>0</v>
      </c>
      <c r="AK537" s="56">
        <f>'[2]Изложницы без бурта'!I537</f>
        <v>0</v>
      </c>
      <c r="AL537" s="56" t="s">
        <v>610</v>
      </c>
      <c r="AM537" s="56">
        <f>'[2]Изложницы без бурта'!K537</f>
        <v>0</v>
      </c>
    </row>
    <row r="538" spans="28:39" x14ac:dyDescent="0.25">
      <c r="AB538" s="253" t="str">
        <f t="shared" si="24"/>
        <v/>
      </c>
      <c r="AC538" s="254" t="str">
        <f>IF(COUNTIF(AD$78:AD538,AD538)=1,MAX(AC$78:AC537)+1,"")</f>
        <v/>
      </c>
      <c r="AD538" s="215">
        <f>'[2]Изложницы без бурта'!B538</f>
        <v>200</v>
      </c>
      <c r="AE538" s="215">
        <f>'[2]Изложницы без бурта'!C538</f>
        <v>265</v>
      </c>
      <c r="AF538" s="56">
        <f>'[2]Изложницы без бурта'!D538</f>
        <v>285</v>
      </c>
      <c r="AG538" s="56">
        <f>'[2]Изложницы без бурта'!E538</f>
        <v>320</v>
      </c>
      <c r="AH538" s="56" t="str">
        <f>'[2]Изложницы без бурта'!F538</f>
        <v>72.11870 - 25</v>
      </c>
      <c r="AI538" s="56">
        <f>'[2]Изложницы без бурта'!G538</f>
        <v>0</v>
      </c>
      <c r="AJ538" s="56">
        <f>'[2]Изложницы без бурта'!H538</f>
        <v>0</v>
      </c>
      <c r="AK538" s="56">
        <f>'[2]Изложницы без бурта'!I538</f>
        <v>0</v>
      </c>
      <c r="AL538" s="56" t="s">
        <v>610</v>
      </c>
      <c r="AM538" s="56">
        <f>'[2]Изложницы без бурта'!K538</f>
        <v>0</v>
      </c>
    </row>
    <row r="539" spans="28:39" x14ac:dyDescent="0.25">
      <c r="AB539" s="253" t="str">
        <f t="shared" si="24"/>
        <v/>
      </c>
      <c r="AC539" s="254" t="str">
        <f>IF(COUNTIF(AD$78:AD539,AD539)=1,MAX(AC$78:AC538)+1,"")</f>
        <v/>
      </c>
      <c r="AD539" s="215">
        <f>'[2]Изложницы без бурта'!B539</f>
        <v>200</v>
      </c>
      <c r="AE539" s="215">
        <f>'[2]Изложницы без бурта'!C539</f>
        <v>260</v>
      </c>
      <c r="AF539" s="56">
        <f>'[2]Изложницы без бурта'!D539</f>
        <v>285</v>
      </c>
      <c r="AG539" s="56">
        <f>'[2]Изложницы без бурта'!E539</f>
        <v>320</v>
      </c>
      <c r="AH539" s="56" t="str">
        <f>'[2]Изложницы без бурта'!F539</f>
        <v>72.11870 - 25</v>
      </c>
      <c r="AI539" s="56">
        <f>'[2]Изложницы без бурта'!G539</f>
        <v>0</v>
      </c>
      <c r="AJ539" s="56">
        <f>'[2]Изложницы без бурта'!H539</f>
        <v>0</v>
      </c>
      <c r="AK539" s="56">
        <f>'[2]Изложницы без бурта'!I539</f>
        <v>0</v>
      </c>
      <c r="AL539" s="56" t="s">
        <v>610</v>
      </c>
      <c r="AM539" s="56">
        <f>'[2]Изложницы без бурта'!K539</f>
        <v>0</v>
      </c>
    </row>
    <row r="540" spans="28:39" x14ac:dyDescent="0.25">
      <c r="AB540" s="253" t="str">
        <f t="shared" si="24"/>
        <v/>
      </c>
      <c r="AC540" s="254" t="str">
        <f>IF(COUNTIF(AD$78:AD540,AD540)=1,MAX(AC$78:AC539)+1,"")</f>
        <v/>
      </c>
      <c r="AD540" s="215">
        <f>'[2]Изложницы без бурта'!B540</f>
        <v>200</v>
      </c>
      <c r="AE540" s="215">
        <f>'[2]Изложницы без бурта'!C540</f>
        <v>265</v>
      </c>
      <c r="AF540" s="56">
        <f>'[2]Изложницы без бурта'!D540</f>
        <v>285</v>
      </c>
      <c r="AG540" s="56">
        <f>'[2]Изложницы без бурта'!E540</f>
        <v>320</v>
      </c>
      <c r="AH540" s="56" t="str">
        <f>'[2]Изложницы без бурта'!F540</f>
        <v>72.11870 - 25</v>
      </c>
      <c r="AI540" s="56">
        <f>'[2]Изложницы без бурта'!G540</f>
        <v>0</v>
      </c>
      <c r="AJ540" s="56">
        <f>'[2]Изложницы без бурта'!H540</f>
        <v>0</v>
      </c>
      <c r="AK540" s="56">
        <f>'[2]Изложницы без бурта'!I540</f>
        <v>0</v>
      </c>
      <c r="AL540" s="56" t="s">
        <v>610</v>
      </c>
      <c r="AM540" s="56">
        <f>'[2]Изложницы без бурта'!K540</f>
        <v>0</v>
      </c>
    </row>
    <row r="541" spans="28:39" x14ac:dyDescent="0.25">
      <c r="AB541" s="253" t="str">
        <f t="shared" si="24"/>
        <v/>
      </c>
      <c r="AC541" s="254" t="str">
        <f>IF(COUNTIF(AD$78:AD541,AD541)=1,MAX(AC$78:AC540)+1,"")</f>
        <v/>
      </c>
      <c r="AD541" s="215">
        <f>'[2]Изложницы без бурта'!B541</f>
        <v>200</v>
      </c>
      <c r="AE541" s="215">
        <f>'[2]Изложницы без бурта'!C541</f>
        <v>265</v>
      </c>
      <c r="AF541" s="56">
        <f>'[2]Изложницы без бурта'!D541</f>
        <v>285</v>
      </c>
      <c r="AG541" s="56">
        <f>'[2]Изложницы без бурта'!E541</f>
        <v>320</v>
      </c>
      <c r="AH541" s="56" t="str">
        <f>'[2]Изложницы без бурта'!F541</f>
        <v>72.11870 - 25</v>
      </c>
      <c r="AI541" s="56">
        <f>'[2]Изложницы без бурта'!G541</f>
        <v>0</v>
      </c>
      <c r="AJ541" s="56">
        <f>'[2]Изложницы без бурта'!H541</f>
        <v>0</v>
      </c>
      <c r="AK541" s="56">
        <f>'[2]Изложницы без бурта'!I541</f>
        <v>0</v>
      </c>
      <c r="AL541" s="56" t="s">
        <v>610</v>
      </c>
      <c r="AM541" s="56">
        <f>'[2]Изложницы без бурта'!K541</f>
        <v>0</v>
      </c>
    </row>
    <row r="542" spans="28:39" x14ac:dyDescent="0.25">
      <c r="AB542" s="253" t="str">
        <f t="shared" si="24"/>
        <v/>
      </c>
      <c r="AC542" s="254" t="str">
        <f>IF(COUNTIF(AD$78:AD542,AD542)=1,MAX(AC$78:AC541)+1,"")</f>
        <v/>
      </c>
      <c r="AD542" s="215">
        <f>'[2]Изложницы без бурта'!B542</f>
        <v>200</v>
      </c>
      <c r="AE542" s="215">
        <f>'[2]Изложницы без бурта'!C542</f>
        <v>265</v>
      </c>
      <c r="AF542" s="56">
        <f>'[2]Изложницы без бурта'!D542</f>
        <v>285</v>
      </c>
      <c r="AG542" s="56">
        <f>'[2]Изложницы без бурта'!E542</f>
        <v>320</v>
      </c>
      <c r="AH542" s="56" t="str">
        <f>'[2]Изложницы без бурта'!F542</f>
        <v>72.11870 - 25</v>
      </c>
      <c r="AI542" s="56">
        <f>'[2]Изложницы без бурта'!G542</f>
        <v>0</v>
      </c>
      <c r="AJ542" s="56">
        <f>'[2]Изложницы без бурта'!H542</f>
        <v>0</v>
      </c>
      <c r="AK542" s="56">
        <f>'[2]Изложницы без бурта'!I542</f>
        <v>0</v>
      </c>
      <c r="AL542" s="56" t="s">
        <v>610</v>
      </c>
      <c r="AM542" s="56">
        <f>'[2]Изложницы без бурта'!K542</f>
        <v>0</v>
      </c>
    </row>
    <row r="543" spans="28:39" x14ac:dyDescent="0.25">
      <c r="AB543" s="253" t="str">
        <f t="shared" si="24"/>
        <v/>
      </c>
      <c r="AC543" s="254" t="str">
        <f>IF(COUNTIF(AD$78:AD543,AD543)=1,MAX(AC$78:AC542)+1,"")</f>
        <v/>
      </c>
      <c r="AD543" s="215">
        <f>'[2]Изложницы без бурта'!B543</f>
        <v>200</v>
      </c>
      <c r="AE543" s="215">
        <f>'[2]Изложницы без бурта'!C543</f>
        <v>262</v>
      </c>
      <c r="AF543" s="56">
        <f>'[2]Изложницы без бурта'!D543</f>
        <v>285</v>
      </c>
      <c r="AG543" s="56">
        <f>'[2]Изложницы без бурта'!E543</f>
        <v>320</v>
      </c>
      <c r="AH543" s="56" t="str">
        <f>'[2]Изложницы без бурта'!F543</f>
        <v>72.11870 - 25</v>
      </c>
      <c r="AI543" s="56">
        <f>'[2]Изложницы без бурта'!G543</f>
        <v>0</v>
      </c>
      <c r="AJ543" s="56">
        <f>'[2]Изложницы без бурта'!H543</f>
        <v>0</v>
      </c>
      <c r="AK543" s="56">
        <f>'[2]Изложницы без бурта'!I543</f>
        <v>0</v>
      </c>
      <c r="AL543" s="56" t="s">
        <v>610</v>
      </c>
      <c r="AM543" s="56">
        <f>'[2]Изложницы без бурта'!K543</f>
        <v>0</v>
      </c>
    </row>
    <row r="544" spans="28:39" x14ac:dyDescent="0.25">
      <c r="AB544" s="253" t="str">
        <f t="shared" si="24"/>
        <v/>
      </c>
      <c r="AC544" s="254" t="str">
        <f>IF(COUNTIF(AD$78:AD544,AD544)=1,MAX(AC$78:AC543)+1,"")</f>
        <v/>
      </c>
      <c r="AD544" s="215">
        <f>'[2]Изложницы без бурта'!B544</f>
        <v>200</v>
      </c>
      <c r="AE544" s="215">
        <f>'[2]Изложницы без бурта'!C544</f>
        <v>265</v>
      </c>
      <c r="AF544" s="56">
        <f>'[2]Изложницы без бурта'!D544</f>
        <v>285</v>
      </c>
      <c r="AG544" s="56">
        <f>'[2]Изложницы без бурта'!E544</f>
        <v>320</v>
      </c>
      <c r="AH544" s="56" t="str">
        <f>'[2]Изложницы без бурта'!F544</f>
        <v>72.11870 - 25</v>
      </c>
      <c r="AI544" s="56">
        <f>'[2]Изложницы без бурта'!G544</f>
        <v>0</v>
      </c>
      <c r="AJ544" s="56">
        <f>'[2]Изложницы без бурта'!H544</f>
        <v>0</v>
      </c>
      <c r="AK544" s="56">
        <f>'[2]Изложницы без бурта'!I544</f>
        <v>0</v>
      </c>
      <c r="AL544" s="56" t="s">
        <v>610</v>
      </c>
      <c r="AM544" s="56">
        <f>'[2]Изложницы без бурта'!K544</f>
        <v>0</v>
      </c>
    </row>
    <row r="545" spans="28:39" x14ac:dyDescent="0.25">
      <c r="AB545" s="253" t="str">
        <f t="shared" si="24"/>
        <v/>
      </c>
      <c r="AC545" s="254" t="str">
        <f>IF(COUNTIF(AD$78:AD545,AD545)=1,MAX(AC$78:AC544)+1,"")</f>
        <v/>
      </c>
      <c r="AD545" s="215">
        <f>'[2]Изложницы без бурта'!B545</f>
        <v>200</v>
      </c>
      <c r="AE545" s="215">
        <f>'[2]Изложницы без бурта'!C545</f>
        <v>315</v>
      </c>
      <c r="AF545" s="56">
        <f>'[2]Изложницы без бурта'!D545</f>
        <v>285</v>
      </c>
      <c r="AG545" s="56">
        <f>'[2]Изложницы без бурта'!E545</f>
        <v>320</v>
      </c>
      <c r="AH545" s="56" t="str">
        <f>'[2]Изложницы без бурта'!F545</f>
        <v>72.11871 - 25</v>
      </c>
      <c r="AI545" s="56">
        <f>'[2]Изложницы без бурта'!G545</f>
        <v>0</v>
      </c>
      <c r="AJ545" s="56">
        <f>'[2]Изложницы без бурта'!H545</f>
        <v>0</v>
      </c>
      <c r="AK545" s="56">
        <f>'[2]Изложницы без бурта'!I545</f>
        <v>0</v>
      </c>
      <c r="AL545" s="56" t="s">
        <v>610</v>
      </c>
      <c r="AM545" s="56">
        <f>'[2]Изложницы без бурта'!K545</f>
        <v>0</v>
      </c>
    </row>
    <row r="546" spans="28:39" x14ac:dyDescent="0.25">
      <c r="AB546" s="253" t="str">
        <f t="shared" si="24"/>
        <v/>
      </c>
      <c r="AC546" s="254" t="str">
        <f>IF(COUNTIF(AD$78:AD546,AD546)=1,MAX(AC$78:AC545)+1,"")</f>
        <v/>
      </c>
      <c r="AD546" s="215">
        <f>'[2]Изложницы без бурта'!B546</f>
        <v>200</v>
      </c>
      <c r="AE546" s="215">
        <f>'[2]Изложницы без бурта'!C546</f>
        <v>265</v>
      </c>
      <c r="AF546" s="56">
        <f>'[2]Изложницы без бурта'!D546</f>
        <v>285</v>
      </c>
      <c r="AG546" s="56">
        <f>'[2]Изложницы без бурта'!E546</f>
        <v>320</v>
      </c>
      <c r="AH546" s="56" t="str">
        <f>'[2]Изложницы без бурта'!F546</f>
        <v>72.11870 - 25</v>
      </c>
      <c r="AI546" s="56">
        <f>'[2]Изложницы без бурта'!G546</f>
        <v>0</v>
      </c>
      <c r="AJ546" s="56">
        <f>'[2]Изложницы без бурта'!H546</f>
        <v>0</v>
      </c>
      <c r="AK546" s="56">
        <f>'[2]Изложницы без бурта'!I546</f>
        <v>0</v>
      </c>
      <c r="AL546" s="56" t="s">
        <v>610</v>
      </c>
      <c r="AM546" s="56">
        <f>'[2]Изложницы без бурта'!K546</f>
        <v>0</v>
      </c>
    </row>
    <row r="547" spans="28:39" x14ac:dyDescent="0.25">
      <c r="AB547" s="253" t="str">
        <f t="shared" si="24"/>
        <v/>
      </c>
      <c r="AC547" s="254">
        <f>IF(COUNTIF(AD$78:AD547,AD547)=1,MAX(AC$78:AC546)+1,"")</f>
        <v>46</v>
      </c>
      <c r="AD547" s="215">
        <f>'[2]Изложницы без бурта'!B547</f>
        <v>202.5</v>
      </c>
      <c r="AE547" s="215">
        <f>'[2]Изложницы без бурта'!C547</f>
        <v>410</v>
      </c>
      <c r="AF547" s="56">
        <f>'[2]Изложницы без бурта'!D547</f>
        <v>285</v>
      </c>
      <c r="AG547" s="56">
        <f>'[2]Изложницы без бурта'!E547</f>
        <v>320</v>
      </c>
      <c r="AH547" s="56" t="str">
        <f>'[2]Изложницы без бурта'!F547</f>
        <v>72.42346 - 02</v>
      </c>
      <c r="AI547" s="56">
        <f>'[2]Изложницы без бурта'!G547</f>
        <v>7260019</v>
      </c>
      <c r="AJ547" s="56">
        <f>'[2]Изложницы без бурта'!H547</f>
        <v>0</v>
      </c>
      <c r="AK547" s="56">
        <f>'[2]Изложницы без бурта'!I547</f>
        <v>0</v>
      </c>
      <c r="AL547" s="56" t="s">
        <v>611</v>
      </c>
      <c r="AM547" s="56">
        <f>'[2]Изложницы без бурта'!K547</f>
        <v>0</v>
      </c>
    </row>
    <row r="548" spans="28:39" x14ac:dyDescent="0.25">
      <c r="AB548" s="253" t="str">
        <f t="shared" si="24"/>
        <v/>
      </c>
      <c r="AC548" s="254">
        <f>IF(COUNTIF(AD$78:AD548,AD548)=1,MAX(AC$78:AC547)+1,"")</f>
        <v>47</v>
      </c>
      <c r="AD548" s="215">
        <f>'[2]Изложницы без бурта'!B548</f>
        <v>205</v>
      </c>
      <c r="AE548" s="215">
        <f>'[2]Изложницы без бурта'!C548</f>
        <v>260</v>
      </c>
      <c r="AF548" s="56">
        <f>'[2]Изложницы без бурта'!D548</f>
        <v>285</v>
      </c>
      <c r="AG548" s="56">
        <f>'[2]Изложницы без бурта'!E548</f>
        <v>320</v>
      </c>
      <c r="AH548" s="56" t="str">
        <f>'[2]Изложницы без бурта'!F548</f>
        <v>72.11870 - 27</v>
      </c>
      <c r="AI548" s="56">
        <f>'[2]Изложницы без бурта'!G548</f>
        <v>0</v>
      </c>
      <c r="AJ548" s="56">
        <f>'[2]Изложницы без бурта'!H548</f>
        <v>0</v>
      </c>
      <c r="AK548" s="56">
        <f>'[2]Изложницы без бурта'!I548</f>
        <v>0</v>
      </c>
      <c r="AL548" s="56" t="s">
        <v>612</v>
      </c>
      <c r="AM548" s="56">
        <f>'[2]Изложницы без бурта'!K548</f>
        <v>0</v>
      </c>
    </row>
    <row r="549" spans="28:39" x14ac:dyDescent="0.25">
      <c r="AB549" s="253" t="str">
        <f t="shared" si="24"/>
        <v/>
      </c>
      <c r="AC549" s="254" t="str">
        <f>IF(COUNTIF(AD$78:AD549,AD549)=1,MAX(AC$78:AC548)+1,"")</f>
        <v/>
      </c>
      <c r="AD549" s="215">
        <f>'[2]Изложницы без бурта'!B549</f>
        <v>205</v>
      </c>
      <c r="AE549" s="215">
        <f>'[2]Изложницы без бурта'!C549</f>
        <v>265</v>
      </c>
      <c r="AF549" s="56">
        <f>'[2]Изложницы без бурта'!D549</f>
        <v>285</v>
      </c>
      <c r="AG549" s="56">
        <f>'[2]Изложницы без бурта'!E549</f>
        <v>320</v>
      </c>
      <c r="AH549" s="56" t="str">
        <f>'[2]Изложницы без бурта'!F549</f>
        <v>72.11870 - 27</v>
      </c>
      <c r="AI549" s="56">
        <f>'[2]Изложницы без бурта'!G549</f>
        <v>0</v>
      </c>
      <c r="AJ549" s="56">
        <f>'[2]Изложницы без бурта'!H549</f>
        <v>0</v>
      </c>
      <c r="AK549" s="56">
        <f>'[2]Изложницы без бурта'!I549</f>
        <v>0</v>
      </c>
      <c r="AL549" s="56" t="s">
        <v>612</v>
      </c>
      <c r="AM549" s="56">
        <f>'[2]Изложницы без бурта'!K549</f>
        <v>0</v>
      </c>
    </row>
    <row r="550" spans="28:39" x14ac:dyDescent="0.25">
      <c r="AB550" s="253" t="str">
        <f t="shared" si="24"/>
        <v/>
      </c>
      <c r="AC550" s="254" t="str">
        <f>IF(COUNTIF(AD$78:AD550,AD550)=1,MAX(AC$78:AC549)+1,"")</f>
        <v/>
      </c>
      <c r="AD550" s="215">
        <f>'[2]Изложницы без бурта'!B550</f>
        <v>205</v>
      </c>
      <c r="AE550" s="215">
        <f>'[2]Изложницы без бурта'!C550</f>
        <v>265</v>
      </c>
      <c r="AF550" s="56">
        <f>'[2]Изложницы без бурта'!D550</f>
        <v>285</v>
      </c>
      <c r="AG550" s="56">
        <f>'[2]Изложницы без бурта'!E550</f>
        <v>320</v>
      </c>
      <c r="AH550" s="56" t="str">
        <f>'[2]Изложницы без бурта'!F550</f>
        <v>72.11870 - 27</v>
      </c>
      <c r="AI550" s="56">
        <f>'[2]Изложницы без бурта'!G550</f>
        <v>0</v>
      </c>
      <c r="AJ550" s="56">
        <f>'[2]Изложницы без бурта'!H550</f>
        <v>0</v>
      </c>
      <c r="AK550" s="56">
        <f>'[2]Изложницы без бурта'!I550</f>
        <v>0</v>
      </c>
      <c r="AL550" s="56" t="s">
        <v>612</v>
      </c>
      <c r="AM550" s="56">
        <f>'[2]Изложницы без бурта'!K550</f>
        <v>0</v>
      </c>
    </row>
    <row r="551" spans="28:39" x14ac:dyDescent="0.25">
      <c r="AB551" s="253" t="str">
        <f t="shared" si="24"/>
        <v/>
      </c>
      <c r="AC551" s="254" t="str">
        <f>IF(COUNTIF(AD$78:AD551,AD551)=1,MAX(AC$78:AC550)+1,"")</f>
        <v/>
      </c>
      <c r="AD551" s="215">
        <f>'[2]Изложницы без бурта'!B551</f>
        <v>205</v>
      </c>
      <c r="AE551" s="215">
        <f>'[2]Изложницы без бурта'!C551</f>
        <v>265</v>
      </c>
      <c r="AF551" s="56">
        <f>'[2]Изложницы без бурта'!D551</f>
        <v>285</v>
      </c>
      <c r="AG551" s="56">
        <f>'[2]Изложницы без бурта'!E551</f>
        <v>320</v>
      </c>
      <c r="AH551" s="56" t="str">
        <f>'[2]Изложницы без бурта'!F551</f>
        <v>72.11870 - 27</v>
      </c>
      <c r="AI551" s="56">
        <f>'[2]Изложницы без бурта'!G551</f>
        <v>0</v>
      </c>
      <c r="AJ551" s="56">
        <f>'[2]Изложницы без бурта'!H551</f>
        <v>0</v>
      </c>
      <c r="AK551" s="56">
        <f>'[2]Изложницы без бурта'!I551</f>
        <v>0</v>
      </c>
      <c r="AL551" s="56" t="s">
        <v>612</v>
      </c>
      <c r="AM551" s="56">
        <f>'[2]Изложницы без бурта'!K551</f>
        <v>0</v>
      </c>
    </row>
    <row r="552" spans="28:39" x14ac:dyDescent="0.25">
      <c r="AB552" s="253" t="str">
        <f t="shared" si="24"/>
        <v/>
      </c>
      <c r="AC552" s="254" t="str">
        <f>IF(COUNTIF(AD$78:AD552,AD552)=1,MAX(AC$78:AC551)+1,"")</f>
        <v/>
      </c>
      <c r="AD552" s="215">
        <f>'[2]Изложницы без бурта'!B552</f>
        <v>205</v>
      </c>
      <c r="AE552" s="215">
        <f>'[2]Изложницы без бурта'!C552</f>
        <v>265</v>
      </c>
      <c r="AF552" s="56">
        <f>'[2]Изложницы без бурта'!D552</f>
        <v>285</v>
      </c>
      <c r="AG552" s="56">
        <f>'[2]Изложницы без бурта'!E552</f>
        <v>320</v>
      </c>
      <c r="AH552" s="56" t="str">
        <f>'[2]Изложницы без бурта'!F552</f>
        <v>72.11870 - 27</v>
      </c>
      <c r="AI552" s="56">
        <f>'[2]Изложницы без бурта'!G552</f>
        <v>0</v>
      </c>
      <c r="AJ552" s="56">
        <f>'[2]Изложницы без бурта'!H552</f>
        <v>0</v>
      </c>
      <c r="AK552" s="56">
        <f>'[2]Изложницы без бурта'!I552</f>
        <v>0</v>
      </c>
      <c r="AL552" s="56" t="s">
        <v>612</v>
      </c>
      <c r="AM552" s="56">
        <f>'[2]Изложницы без бурта'!K552</f>
        <v>0</v>
      </c>
    </row>
    <row r="553" spans="28:39" x14ac:dyDescent="0.25">
      <c r="AB553" s="253" t="str">
        <f t="shared" si="24"/>
        <v/>
      </c>
      <c r="AC553" s="254" t="str">
        <f>IF(COUNTIF(AD$78:AD553,AD553)=1,MAX(AC$78:AC552)+1,"")</f>
        <v/>
      </c>
      <c r="AD553" s="215">
        <f>'[2]Изложницы без бурта'!B553</f>
        <v>205</v>
      </c>
      <c r="AE553" s="215">
        <f>'[2]Изложницы без бурта'!C553</f>
        <v>265</v>
      </c>
      <c r="AF553" s="56">
        <f>'[2]Изложницы без бурта'!D553</f>
        <v>285</v>
      </c>
      <c r="AG553" s="56">
        <f>'[2]Изложницы без бурта'!E553</f>
        <v>320</v>
      </c>
      <c r="AH553" s="56" t="str">
        <f>'[2]Изложницы без бурта'!F553</f>
        <v>72.11870 - 27</v>
      </c>
      <c r="AI553" s="56">
        <f>'[2]Изложницы без бурта'!G553</f>
        <v>0</v>
      </c>
      <c r="AJ553" s="56">
        <f>'[2]Изложницы без бурта'!H553</f>
        <v>0</v>
      </c>
      <c r="AK553" s="56">
        <f>'[2]Изложницы без бурта'!I553</f>
        <v>0</v>
      </c>
      <c r="AL553" s="56" t="s">
        <v>612</v>
      </c>
      <c r="AM553" s="56">
        <f>'[2]Изложницы без бурта'!K553</f>
        <v>0</v>
      </c>
    </row>
    <row r="554" spans="28:39" x14ac:dyDescent="0.25">
      <c r="AB554" s="253" t="str">
        <f t="shared" si="24"/>
        <v/>
      </c>
      <c r="AC554" s="254" t="str">
        <f>IF(COUNTIF(AD$78:AD554,AD554)=1,MAX(AC$78:AC553)+1,"")</f>
        <v/>
      </c>
      <c r="AD554" s="215">
        <f>'[2]Изложницы без бурта'!B554</f>
        <v>205</v>
      </c>
      <c r="AE554" s="215">
        <f>'[2]Изложницы без бурта'!C554</f>
        <v>265</v>
      </c>
      <c r="AF554" s="56">
        <f>'[2]Изложницы без бурта'!D554</f>
        <v>285</v>
      </c>
      <c r="AG554" s="56">
        <f>'[2]Изложницы без бурта'!E554</f>
        <v>320</v>
      </c>
      <c r="AH554" s="56" t="str">
        <f>'[2]Изложницы без бурта'!F554</f>
        <v>72.11870 - 27</v>
      </c>
      <c r="AI554" s="56">
        <f>'[2]Изложницы без бурта'!G554</f>
        <v>0</v>
      </c>
      <c r="AJ554" s="56">
        <f>'[2]Изложницы без бурта'!H554</f>
        <v>0</v>
      </c>
      <c r="AK554" s="56">
        <f>'[2]Изложницы без бурта'!I554</f>
        <v>0</v>
      </c>
      <c r="AL554" s="56" t="s">
        <v>612</v>
      </c>
      <c r="AM554" s="56">
        <f>'[2]Изложницы без бурта'!K554</f>
        <v>0</v>
      </c>
    </row>
    <row r="555" spans="28:39" x14ac:dyDescent="0.25">
      <c r="AB555" s="253" t="str">
        <f t="shared" si="24"/>
        <v/>
      </c>
      <c r="AC555" s="254" t="str">
        <f>IF(COUNTIF(AD$78:AD555,AD555)=1,MAX(AC$78:AC554)+1,"")</f>
        <v/>
      </c>
      <c r="AD555" s="215">
        <f>'[2]Изложницы без бурта'!B555</f>
        <v>205</v>
      </c>
      <c r="AE555" s="215">
        <f>'[2]Изложницы без бурта'!C555</f>
        <v>265</v>
      </c>
      <c r="AF555" s="56">
        <f>'[2]Изложницы без бурта'!D555</f>
        <v>285</v>
      </c>
      <c r="AG555" s="56">
        <f>'[2]Изложницы без бурта'!E555</f>
        <v>320</v>
      </c>
      <c r="AH555" s="56" t="str">
        <f>'[2]Изложницы без бурта'!F555</f>
        <v>72.11870 - 27</v>
      </c>
      <c r="AI555" s="56">
        <f>'[2]Изложницы без бурта'!G555</f>
        <v>0</v>
      </c>
      <c r="AJ555" s="56">
        <f>'[2]Изложницы без бурта'!H555</f>
        <v>0</v>
      </c>
      <c r="AK555" s="56">
        <f>'[2]Изложницы без бурта'!I555</f>
        <v>0</v>
      </c>
      <c r="AL555" s="56" t="s">
        <v>612</v>
      </c>
      <c r="AM555" s="56">
        <f>'[2]Изложницы без бурта'!K555</f>
        <v>0</v>
      </c>
    </row>
    <row r="556" spans="28:39" x14ac:dyDescent="0.25">
      <c r="AB556" s="253" t="str">
        <f t="shared" si="24"/>
        <v/>
      </c>
      <c r="AC556" s="254" t="str">
        <f>IF(COUNTIF(AD$78:AD556,AD556)=1,MAX(AC$78:AC555)+1,"")</f>
        <v/>
      </c>
      <c r="AD556" s="215">
        <f>'[2]Изложницы без бурта'!B556</f>
        <v>205</v>
      </c>
      <c r="AE556" s="215">
        <f>'[2]Изложницы без бурта'!C556</f>
        <v>265</v>
      </c>
      <c r="AF556" s="56">
        <f>'[2]Изложницы без бурта'!D556</f>
        <v>285</v>
      </c>
      <c r="AG556" s="56">
        <f>'[2]Изложницы без бурта'!E556</f>
        <v>320</v>
      </c>
      <c r="AH556" s="56" t="str">
        <f>'[2]Изложницы без бурта'!F556</f>
        <v>72.11870 - 27</v>
      </c>
      <c r="AI556" s="56">
        <f>'[2]Изложницы без бурта'!G556</f>
        <v>0</v>
      </c>
      <c r="AJ556" s="56">
        <f>'[2]Изложницы без бурта'!H556</f>
        <v>0</v>
      </c>
      <c r="AK556" s="56">
        <f>'[2]Изложницы без бурта'!I556</f>
        <v>0</v>
      </c>
      <c r="AL556" s="56" t="s">
        <v>612</v>
      </c>
      <c r="AM556" s="56">
        <f>'[2]Изложницы без бурта'!K556</f>
        <v>0</v>
      </c>
    </row>
    <row r="557" spans="28:39" x14ac:dyDescent="0.25">
      <c r="AB557" s="253" t="str">
        <f t="shared" si="24"/>
        <v/>
      </c>
      <c r="AC557" s="254" t="str">
        <f>IF(COUNTIF(AD$78:AD557,AD557)=1,MAX(AC$78:AC556)+1,"")</f>
        <v/>
      </c>
      <c r="AD557" s="215">
        <f>'[2]Изложницы без бурта'!B557</f>
        <v>205</v>
      </c>
      <c r="AE557" s="215">
        <f>'[2]Изложницы без бурта'!C557</f>
        <v>315</v>
      </c>
      <c r="AF557" s="56">
        <f>'[2]Изложницы без бурта'!D557</f>
        <v>285</v>
      </c>
      <c r="AG557" s="56">
        <f>'[2]Изложницы без бурта'!E557</f>
        <v>320</v>
      </c>
      <c r="AH557" s="56" t="str">
        <f>'[2]Изложницы без бурта'!F557</f>
        <v>72.11871 - 27</v>
      </c>
      <c r="AI557" s="56">
        <f>'[2]Изложницы без бурта'!G557</f>
        <v>0</v>
      </c>
      <c r="AJ557" s="56">
        <f>'[2]Изложницы без бурта'!H557</f>
        <v>0</v>
      </c>
      <c r="AK557" s="56">
        <f>'[2]Изложницы без бурта'!I557</f>
        <v>0</v>
      </c>
      <c r="AL557" s="56" t="s">
        <v>612</v>
      </c>
      <c r="AM557" s="56">
        <f>'[2]Изложницы без бурта'!K557</f>
        <v>0</v>
      </c>
    </row>
    <row r="558" spans="28:39" x14ac:dyDescent="0.25">
      <c r="AB558" s="253" t="str">
        <f t="shared" si="24"/>
        <v/>
      </c>
      <c r="AC558" s="254" t="str">
        <f>IF(COUNTIF(AD$78:AD558,AD558)=1,MAX(AC$78:AC557)+1,"")</f>
        <v/>
      </c>
      <c r="AD558" s="215">
        <f>'[2]Изложницы без бурта'!B558</f>
        <v>205</v>
      </c>
      <c r="AE558" s="215">
        <f>'[2]Изложницы без бурта'!C558</f>
        <v>260</v>
      </c>
      <c r="AF558" s="56">
        <f>'[2]Изложницы без бурта'!D558</f>
        <v>285</v>
      </c>
      <c r="AG558" s="56">
        <f>'[2]Изложницы без бурта'!E558</f>
        <v>320</v>
      </c>
      <c r="AH558" s="56" t="str">
        <f>'[2]Изложницы без бурта'!F558</f>
        <v>72.11870 - 27</v>
      </c>
      <c r="AI558" s="56">
        <f>'[2]Изложницы без бурта'!G558</f>
        <v>0</v>
      </c>
      <c r="AJ558" s="56">
        <f>'[2]Изложницы без бурта'!H558</f>
        <v>0</v>
      </c>
      <c r="AK558" s="56">
        <f>'[2]Изложницы без бурта'!I558</f>
        <v>0</v>
      </c>
      <c r="AL558" s="56" t="s">
        <v>612</v>
      </c>
      <c r="AM558" s="56">
        <f>'[2]Изложницы без бурта'!K558</f>
        <v>0</v>
      </c>
    </row>
    <row r="559" spans="28:39" x14ac:dyDescent="0.25">
      <c r="AB559" s="253" t="str">
        <f t="shared" si="24"/>
        <v/>
      </c>
      <c r="AC559" s="254" t="str">
        <f>IF(COUNTIF(AD$78:AD559,AD559)=1,MAX(AC$78:AC558)+1,"")</f>
        <v/>
      </c>
      <c r="AD559" s="215">
        <f>'[2]Изложницы без бурта'!B559</f>
        <v>205</v>
      </c>
      <c r="AE559" s="215">
        <f>'[2]Изложницы без бурта'!C559</f>
        <v>270</v>
      </c>
      <c r="AF559" s="56">
        <f>'[2]Изложницы без бурта'!D559</f>
        <v>285</v>
      </c>
      <c r="AG559" s="56">
        <f>'[2]Изложницы без бурта'!E559</f>
        <v>320</v>
      </c>
      <c r="AH559" s="56" t="str">
        <f>'[2]Изложницы без бурта'!F559</f>
        <v>72.11870 - 27</v>
      </c>
      <c r="AI559" s="56">
        <f>'[2]Изложницы без бурта'!G559</f>
        <v>0</v>
      </c>
      <c r="AJ559" s="56">
        <f>'[2]Изложницы без бурта'!H559</f>
        <v>0</v>
      </c>
      <c r="AK559" s="56">
        <f>'[2]Изложницы без бурта'!I559</f>
        <v>0</v>
      </c>
      <c r="AL559" s="56" t="s">
        <v>612</v>
      </c>
      <c r="AM559" s="56">
        <f>'[2]Изложницы без бурта'!K559</f>
        <v>0</v>
      </c>
    </row>
    <row r="560" spans="28:39" x14ac:dyDescent="0.25">
      <c r="AB560" s="253" t="str">
        <f t="shared" si="24"/>
        <v/>
      </c>
      <c r="AC560" s="254" t="str">
        <f>IF(COUNTIF(AD$78:AD560,AD560)=1,MAX(AC$78:AC559)+1,"")</f>
        <v/>
      </c>
      <c r="AD560" s="215">
        <f>'[2]Изложницы без бурта'!B560</f>
        <v>205</v>
      </c>
      <c r="AE560" s="215">
        <f>'[2]Изложницы без бурта'!C560</f>
        <v>263</v>
      </c>
      <c r="AF560" s="56">
        <f>'[2]Изложницы без бурта'!D560</f>
        <v>285</v>
      </c>
      <c r="AG560" s="56">
        <f>'[2]Изложницы без бурта'!E560</f>
        <v>320</v>
      </c>
      <c r="AH560" s="56" t="str">
        <f>'[2]Изложницы без бурта'!F560</f>
        <v>72.11870 - 27</v>
      </c>
      <c r="AI560" s="56">
        <f>'[2]Изложницы без бурта'!G560</f>
        <v>0</v>
      </c>
      <c r="AJ560" s="56">
        <f>'[2]Изложницы без бурта'!H560</f>
        <v>0</v>
      </c>
      <c r="AK560" s="56">
        <f>'[2]Изложницы без бурта'!I560</f>
        <v>0</v>
      </c>
      <c r="AL560" s="56" t="s">
        <v>612</v>
      </c>
      <c r="AM560" s="56">
        <f>'[2]Изложницы без бурта'!K560</f>
        <v>0</v>
      </c>
    </row>
    <row r="561" spans="28:39" x14ac:dyDescent="0.25">
      <c r="AB561" s="253" t="str">
        <f t="shared" si="24"/>
        <v/>
      </c>
      <c r="AC561" s="254" t="str">
        <f>IF(COUNTIF(AD$78:AD561,AD561)=1,MAX(AC$78:AC560)+1,"")</f>
        <v/>
      </c>
      <c r="AD561" s="215">
        <f>'[2]Изложницы без бурта'!B561</f>
        <v>205</v>
      </c>
      <c r="AE561" s="215">
        <f>'[2]Изложницы без бурта'!C561</f>
        <v>265</v>
      </c>
      <c r="AF561" s="56">
        <f>'[2]Изложницы без бурта'!D561</f>
        <v>285</v>
      </c>
      <c r="AG561" s="56">
        <f>'[2]Изложницы без бурта'!E561</f>
        <v>320</v>
      </c>
      <c r="AH561" s="56" t="str">
        <f>'[2]Изложницы без бурта'!F561</f>
        <v>72.11870 - 27</v>
      </c>
      <c r="AI561" s="56">
        <f>'[2]Изложницы без бурта'!G561</f>
        <v>0</v>
      </c>
      <c r="AJ561" s="56">
        <f>'[2]Изложницы без бурта'!H561</f>
        <v>0</v>
      </c>
      <c r="AK561" s="56">
        <f>'[2]Изложницы без бурта'!I561</f>
        <v>0</v>
      </c>
      <c r="AL561" s="56" t="s">
        <v>612</v>
      </c>
      <c r="AM561" s="56">
        <f>'[2]Изложницы без бурта'!K561</f>
        <v>0</v>
      </c>
    </row>
    <row r="562" spans="28:39" x14ac:dyDescent="0.25">
      <c r="AB562" s="253" t="str">
        <f t="shared" si="24"/>
        <v/>
      </c>
      <c r="AC562" s="254" t="str">
        <f>IF(COUNTIF(AD$78:AD562,AD562)=1,MAX(AC$78:AC561)+1,"")</f>
        <v/>
      </c>
      <c r="AD562" s="215">
        <f>'[2]Изложницы без бурта'!B562</f>
        <v>205</v>
      </c>
      <c r="AE562" s="215">
        <f>'[2]Изложницы без бурта'!C562</f>
        <v>260</v>
      </c>
      <c r="AF562" s="56">
        <f>'[2]Изложницы без бурта'!D562</f>
        <v>285</v>
      </c>
      <c r="AG562" s="56">
        <f>'[2]Изложницы без бурта'!E562</f>
        <v>320</v>
      </c>
      <c r="AH562" s="56" t="str">
        <f>'[2]Изложницы без бурта'!F562</f>
        <v>72.11870 - 27</v>
      </c>
      <c r="AI562" s="56">
        <f>'[2]Изложницы без бурта'!G562</f>
        <v>0</v>
      </c>
      <c r="AJ562" s="56">
        <f>'[2]Изложницы без бурта'!H562</f>
        <v>0</v>
      </c>
      <c r="AK562" s="56">
        <f>'[2]Изложницы без бурта'!I562</f>
        <v>0</v>
      </c>
      <c r="AL562" s="56" t="s">
        <v>612</v>
      </c>
      <c r="AM562" s="56">
        <f>'[2]Изложницы без бурта'!K562</f>
        <v>0</v>
      </c>
    </row>
    <row r="563" spans="28:39" x14ac:dyDescent="0.25">
      <c r="AB563" s="253" t="str">
        <f t="shared" si="24"/>
        <v/>
      </c>
      <c r="AC563" s="254" t="str">
        <f>IF(COUNTIF(AD$78:AD563,AD563)=1,MAX(AC$78:AC562)+1,"")</f>
        <v/>
      </c>
      <c r="AD563" s="215">
        <f>'[2]Изложницы без бурта'!B563</f>
        <v>205</v>
      </c>
      <c r="AE563" s="215">
        <f>'[2]Изложницы без бурта'!C563</f>
        <v>265</v>
      </c>
      <c r="AF563" s="56">
        <f>'[2]Изложницы без бурта'!D563</f>
        <v>285</v>
      </c>
      <c r="AG563" s="56">
        <f>'[2]Изложницы без бурта'!E563</f>
        <v>320</v>
      </c>
      <c r="AH563" s="56" t="str">
        <f>'[2]Изложницы без бурта'!F563</f>
        <v>72.11870 - 27</v>
      </c>
      <c r="AI563" s="56">
        <f>'[2]Изложницы без бурта'!G563</f>
        <v>0</v>
      </c>
      <c r="AJ563" s="56">
        <f>'[2]Изложницы без бурта'!H563</f>
        <v>0</v>
      </c>
      <c r="AK563" s="56">
        <f>'[2]Изложницы без бурта'!I563</f>
        <v>0</v>
      </c>
      <c r="AL563" s="56" t="s">
        <v>612</v>
      </c>
      <c r="AM563" s="56">
        <f>'[2]Изложницы без бурта'!K563</f>
        <v>0</v>
      </c>
    </row>
    <row r="564" spans="28:39" x14ac:dyDescent="0.25">
      <c r="AB564" s="253" t="str">
        <f t="shared" si="24"/>
        <v/>
      </c>
      <c r="AC564" s="254" t="str">
        <f>IF(COUNTIF(AD$78:AD564,AD564)=1,MAX(AC$78:AC563)+1,"")</f>
        <v/>
      </c>
      <c r="AD564" s="215">
        <f>'[2]Изложницы без бурта'!B564</f>
        <v>205</v>
      </c>
      <c r="AE564" s="215">
        <f>'[2]Изложницы без бурта'!C564</f>
        <v>265</v>
      </c>
      <c r="AF564" s="56">
        <f>'[2]Изложницы без бурта'!D564</f>
        <v>285</v>
      </c>
      <c r="AG564" s="56">
        <f>'[2]Изложницы без бурта'!E564</f>
        <v>320</v>
      </c>
      <c r="AH564" s="56" t="str">
        <f>'[2]Изложницы без бурта'!F564</f>
        <v>72.11870 - 27</v>
      </c>
      <c r="AI564" s="56">
        <f>'[2]Изложницы без бурта'!G564</f>
        <v>0</v>
      </c>
      <c r="AJ564" s="56">
        <f>'[2]Изложницы без бурта'!H564</f>
        <v>0</v>
      </c>
      <c r="AK564" s="56">
        <f>'[2]Изложницы без бурта'!I564</f>
        <v>0</v>
      </c>
      <c r="AL564" s="56" t="s">
        <v>612</v>
      </c>
      <c r="AM564" s="56">
        <f>'[2]Изложницы без бурта'!K564</f>
        <v>0</v>
      </c>
    </row>
    <row r="565" spans="28:39" x14ac:dyDescent="0.25">
      <c r="AB565" s="253" t="str">
        <f t="shared" si="24"/>
        <v/>
      </c>
      <c r="AC565" s="254">
        <f>IF(COUNTIF(AD$78:AD565,AD565)=1,MAX(AC$78:AC564)+1,"")</f>
        <v>48</v>
      </c>
      <c r="AD565" s="215">
        <f>'[2]Изложницы без бурта'!B565</f>
        <v>207.5</v>
      </c>
      <c r="AE565" s="215">
        <f>'[2]Изложницы без бурта'!C565</f>
        <v>275</v>
      </c>
      <c r="AF565" s="56">
        <f>'[2]Изложницы без бурта'!D565</f>
        <v>285</v>
      </c>
      <c r="AG565" s="56">
        <f>'[2]Изложницы без бурта'!E565</f>
        <v>320</v>
      </c>
      <c r="AH565" s="56" t="str">
        <f>'[2]Изложницы без бурта'!F565</f>
        <v>10.242267 - 1</v>
      </c>
      <c r="AI565" s="56">
        <f>'[2]Изложницы без бурта'!G565</f>
        <v>7260020</v>
      </c>
      <c r="AJ565" s="56">
        <f>'[2]Изложницы без бурта'!H565</f>
        <v>0</v>
      </c>
      <c r="AK565" s="56">
        <f>'[2]Изложницы без бурта'!I565</f>
        <v>0</v>
      </c>
      <c r="AL565" s="56" t="s">
        <v>613</v>
      </c>
      <c r="AM565" s="56">
        <f>'[2]Изложницы без бурта'!K565</f>
        <v>0</v>
      </c>
    </row>
    <row r="566" spans="28:39" x14ac:dyDescent="0.25">
      <c r="AB566" s="253" t="str">
        <f t="shared" si="24"/>
        <v/>
      </c>
      <c r="AC566" s="254" t="str">
        <f>IF(COUNTIF(AD$78:AD566,AD566)=1,MAX(AC$78:AC565)+1,"")</f>
        <v/>
      </c>
      <c r="AD566" s="215">
        <f>'[2]Изложницы без бурта'!B566</f>
        <v>207.5</v>
      </c>
      <c r="AE566" s="215">
        <f>'[2]Изложницы без бурта'!C566</f>
        <v>265</v>
      </c>
      <c r="AF566" s="56">
        <f>'[2]Изложницы без бурта'!D566</f>
        <v>285</v>
      </c>
      <c r="AG566" s="56">
        <f>'[2]Изложницы без бурта'!E566</f>
        <v>320</v>
      </c>
      <c r="AH566" s="56" t="str">
        <f>'[2]Изложницы без бурта'!F566</f>
        <v>72.11870 - 28</v>
      </c>
      <c r="AI566" s="56">
        <f>'[2]Изложницы без бурта'!G566</f>
        <v>0</v>
      </c>
      <c r="AJ566" s="56">
        <f>'[2]Изложницы без бурта'!H566</f>
        <v>0</v>
      </c>
      <c r="AK566" s="56">
        <f>'[2]Изложницы без бурта'!I566</f>
        <v>0</v>
      </c>
      <c r="AL566" s="56" t="s">
        <v>613</v>
      </c>
      <c r="AM566" s="56">
        <f>'[2]Изложницы без бурта'!K566</f>
        <v>0</v>
      </c>
    </row>
    <row r="567" spans="28:39" x14ac:dyDescent="0.25">
      <c r="AB567" s="253" t="str">
        <f t="shared" si="24"/>
        <v/>
      </c>
      <c r="AC567" s="254" t="str">
        <f>IF(COUNTIF(AD$78:AD567,AD567)=1,MAX(AC$78:AC566)+1,"")</f>
        <v/>
      </c>
      <c r="AD567" s="215">
        <f>'[2]Изложницы без бурта'!B567</f>
        <v>207.5</v>
      </c>
      <c r="AE567" s="215">
        <f>'[2]Изложницы без бурта'!C567</f>
        <v>440</v>
      </c>
      <c r="AF567" s="56">
        <f>'[2]Изложницы без бурта'!D567</f>
        <v>285</v>
      </c>
      <c r="AG567" s="56">
        <f>'[2]Изложницы без бурта'!E567</f>
        <v>320</v>
      </c>
      <c r="AH567" s="56" t="str">
        <f>'[2]Изложницы без бурта'!F567</f>
        <v>10.241070 - 02</v>
      </c>
      <c r="AI567" s="56">
        <f>'[2]Изложницы без бурта'!G567</f>
        <v>7260021</v>
      </c>
      <c r="AJ567" s="56">
        <f>'[2]Изложницы без бурта'!H567</f>
        <v>0</v>
      </c>
      <c r="AK567" s="56">
        <f>'[2]Изложницы без бурта'!I567</f>
        <v>0</v>
      </c>
      <c r="AL567" s="56" t="s">
        <v>613</v>
      </c>
      <c r="AM567" s="56">
        <f>'[2]Изложницы без бурта'!K567</f>
        <v>0</v>
      </c>
    </row>
    <row r="568" spans="28:39" x14ac:dyDescent="0.25">
      <c r="AB568" s="253" t="str">
        <f t="shared" si="24"/>
        <v/>
      </c>
      <c r="AC568" s="254" t="str">
        <f>IF(COUNTIF(AD$78:AD568,AD568)=1,MAX(AC$78:AC567)+1,"")</f>
        <v/>
      </c>
      <c r="AD568" s="215">
        <f>'[2]Изложницы без бурта'!B568</f>
        <v>207.5</v>
      </c>
      <c r="AE568" s="215">
        <f>'[2]Изложницы без бурта'!C568</f>
        <v>263</v>
      </c>
      <c r="AF568" s="56">
        <f>'[2]Изложницы без бурта'!D568</f>
        <v>285</v>
      </c>
      <c r="AG568" s="56">
        <f>'[2]Изложницы без бурта'!E568</f>
        <v>320</v>
      </c>
      <c r="AH568" s="56" t="str">
        <f>'[2]Изложницы без бурта'!F568</f>
        <v>72.11870 - 28</v>
      </c>
      <c r="AI568" s="56">
        <f>'[2]Изложницы без бурта'!G568</f>
        <v>0</v>
      </c>
      <c r="AJ568" s="56">
        <f>'[2]Изложницы без бурта'!H568</f>
        <v>0</v>
      </c>
      <c r="AK568" s="56">
        <f>'[2]Изложницы без бурта'!I568</f>
        <v>0</v>
      </c>
      <c r="AL568" s="56" t="s">
        <v>613</v>
      </c>
      <c r="AM568" s="56">
        <f>'[2]Изложницы без бурта'!K568</f>
        <v>0</v>
      </c>
    </row>
    <row r="569" spans="28:39" x14ac:dyDescent="0.25">
      <c r="AB569" s="253" t="str">
        <f t="shared" ref="AB569:AB632" si="25">IF(MAX(AC569:AC1646)&lt;ROW(491:491),"",VLOOKUP(ROW(491:491),AC569:AD1646,2))</f>
        <v/>
      </c>
      <c r="AC569" s="254" t="str">
        <f>IF(COUNTIF(AD$78:AD569,AD569)=1,MAX(AC$78:AC568)+1,"")</f>
        <v/>
      </c>
      <c r="AD569" s="215">
        <f>'[2]Изложницы без бурта'!B569</f>
        <v>207.5</v>
      </c>
      <c r="AE569" s="215">
        <f>'[2]Изложницы без бурта'!C569</f>
        <v>503</v>
      </c>
      <c r="AF569" s="56">
        <f>'[2]Изложницы без бурта'!D569</f>
        <v>285</v>
      </c>
      <c r="AG569" s="56">
        <f>'[2]Изложницы без бурта'!E569</f>
        <v>320</v>
      </c>
      <c r="AH569" s="56" t="str">
        <f>'[2]Изложницы без бурта'!F569</f>
        <v>72.23398 - 03</v>
      </c>
      <c r="AI569" s="56">
        <f>'[2]Изложницы без бурта'!G569</f>
        <v>7260022</v>
      </c>
      <c r="AJ569" s="56">
        <f>'[2]Изложницы без бурта'!H569</f>
        <v>0</v>
      </c>
      <c r="AK569" s="56">
        <f>'[2]Изложницы без бурта'!I569</f>
        <v>0</v>
      </c>
      <c r="AL569" s="56" t="s">
        <v>613</v>
      </c>
      <c r="AM569" s="56">
        <f>'[2]Изложницы без бурта'!K569</f>
        <v>0</v>
      </c>
    </row>
    <row r="570" spans="28:39" x14ac:dyDescent="0.25">
      <c r="AB570" s="253" t="str">
        <f t="shared" si="25"/>
        <v/>
      </c>
      <c r="AC570" s="254" t="str">
        <f>IF(COUNTIF(AD$78:AD570,AD570)=1,MAX(AC$78:AC569)+1,"")</f>
        <v/>
      </c>
      <c r="AD570" s="215">
        <f>'[2]Изложницы без бурта'!B570</f>
        <v>207.5</v>
      </c>
      <c r="AE570" s="215">
        <f>'[2]Изложницы без бурта'!C570</f>
        <v>264</v>
      </c>
      <c r="AF570" s="56">
        <f>'[2]Изложницы без бурта'!D570</f>
        <v>285</v>
      </c>
      <c r="AG570" s="56">
        <f>'[2]Изложницы без бурта'!E570</f>
        <v>320</v>
      </c>
      <c r="AH570" s="56" t="str">
        <f>'[2]Изложницы без бурта'!F570</f>
        <v>72.11870 - 28</v>
      </c>
      <c r="AI570" s="56">
        <f>'[2]Изложницы без бурта'!G570</f>
        <v>0</v>
      </c>
      <c r="AJ570" s="56">
        <f>'[2]Изложницы без бурта'!H570</f>
        <v>0</v>
      </c>
      <c r="AK570" s="56">
        <f>'[2]Изложницы без бурта'!I570</f>
        <v>0</v>
      </c>
      <c r="AL570" s="56" t="s">
        <v>613</v>
      </c>
      <c r="AM570" s="56">
        <f>'[2]Изложницы без бурта'!K570</f>
        <v>0</v>
      </c>
    </row>
    <row r="571" spans="28:39" x14ac:dyDescent="0.25">
      <c r="AB571" s="253" t="str">
        <f t="shared" si="25"/>
        <v/>
      </c>
      <c r="AC571" s="254" t="str">
        <f>IF(COUNTIF(AD$78:AD571,AD571)=1,MAX(AC$78:AC570)+1,"")</f>
        <v/>
      </c>
      <c r="AD571" s="215">
        <f>'[2]Изложницы без бурта'!B571</f>
        <v>207.5</v>
      </c>
      <c r="AE571" s="215">
        <f>'[2]Изложницы без бурта'!C571</f>
        <v>260</v>
      </c>
      <c r="AF571" s="56">
        <f>'[2]Изложницы без бурта'!D571</f>
        <v>285</v>
      </c>
      <c r="AG571" s="56">
        <f>'[2]Изложницы без бурта'!E571</f>
        <v>320</v>
      </c>
      <c r="AH571" s="56" t="str">
        <f>'[2]Изложницы без бурта'!F571</f>
        <v>72.11870 - 28</v>
      </c>
      <c r="AI571" s="56">
        <f>'[2]Изложницы без бурта'!G571</f>
        <v>0</v>
      </c>
      <c r="AJ571" s="56">
        <f>'[2]Изложницы без бурта'!H571</f>
        <v>0</v>
      </c>
      <c r="AK571" s="56">
        <f>'[2]Изложницы без бурта'!I571</f>
        <v>0</v>
      </c>
      <c r="AL571" s="56" t="s">
        <v>613</v>
      </c>
      <c r="AM571" s="56">
        <f>'[2]Изложницы без бурта'!K571</f>
        <v>0</v>
      </c>
    </row>
    <row r="572" spans="28:39" x14ac:dyDescent="0.25">
      <c r="AB572" s="253" t="str">
        <f t="shared" si="25"/>
        <v/>
      </c>
      <c r="AC572" s="254" t="str">
        <f>IF(COUNTIF(AD$78:AD572,AD572)=1,MAX(AC$78:AC571)+1,"")</f>
        <v/>
      </c>
      <c r="AD572" s="215">
        <f>'[2]Изложницы без бурта'!B572</f>
        <v>207.5</v>
      </c>
      <c r="AE572" s="215">
        <f>'[2]Изложницы без бурта'!C572</f>
        <v>375</v>
      </c>
      <c r="AF572" s="56">
        <f>'[2]Изложницы без бурта'!D572</f>
        <v>285</v>
      </c>
      <c r="AG572" s="56">
        <f>'[2]Изложницы без бурта'!E572</f>
        <v>320</v>
      </c>
      <c r="AH572" s="56" t="str">
        <f>'[2]Изложницы без бурта'!F572</f>
        <v>72.42461 - 28</v>
      </c>
      <c r="AI572" s="56">
        <f>'[2]Изложницы без бурта'!G572</f>
        <v>0</v>
      </c>
      <c r="AJ572" s="56">
        <f>'[2]Изложницы без бурта'!H572</f>
        <v>0</v>
      </c>
      <c r="AK572" s="56">
        <f>'[2]Изложницы без бурта'!I572</f>
        <v>0</v>
      </c>
      <c r="AL572" s="56" t="s">
        <v>613</v>
      </c>
      <c r="AM572" s="56">
        <f>'[2]Изложницы без бурта'!K572</f>
        <v>0</v>
      </c>
    </row>
    <row r="573" spans="28:39" x14ac:dyDescent="0.25">
      <c r="AB573" s="253" t="str">
        <f t="shared" si="25"/>
        <v/>
      </c>
      <c r="AC573" s="254" t="str">
        <f>IF(COUNTIF(AD$78:AD573,AD573)=1,MAX(AC$78:AC572)+1,"")</f>
        <v/>
      </c>
      <c r="AD573" s="215">
        <f>'[2]Изложницы без бурта'!B573</f>
        <v>207.5</v>
      </c>
      <c r="AE573" s="215">
        <f>'[2]Изложницы без бурта'!C573</f>
        <v>263</v>
      </c>
      <c r="AF573" s="56">
        <f>'[2]Изложницы без бурта'!D573</f>
        <v>285</v>
      </c>
      <c r="AG573" s="56">
        <f>'[2]Изложницы без бурта'!E573</f>
        <v>320</v>
      </c>
      <c r="AH573" s="56" t="str">
        <f>'[2]Изложницы без бурта'!F573</f>
        <v>72.11870 - 28</v>
      </c>
      <c r="AI573" s="56">
        <f>'[2]Изложницы без бурта'!G573</f>
        <v>0</v>
      </c>
      <c r="AJ573" s="56">
        <f>'[2]Изложницы без бурта'!H573</f>
        <v>0</v>
      </c>
      <c r="AK573" s="56">
        <f>'[2]Изложницы без бурта'!I573</f>
        <v>0</v>
      </c>
      <c r="AL573" s="56" t="s">
        <v>613</v>
      </c>
      <c r="AM573" s="56">
        <f>'[2]Изложницы без бурта'!K573</f>
        <v>0</v>
      </c>
    </row>
    <row r="574" spans="28:39" x14ac:dyDescent="0.25">
      <c r="AB574" s="253" t="str">
        <f t="shared" si="25"/>
        <v/>
      </c>
      <c r="AC574" s="254">
        <f>IF(COUNTIF(AD$78:AD574,AD574)=1,MAX(AC$78:AC573)+1,"")</f>
        <v>49</v>
      </c>
      <c r="AD574" s="215">
        <f>'[2]Изложницы без бурта'!B574</f>
        <v>210</v>
      </c>
      <c r="AE574" s="215">
        <f>'[2]Изложницы без бурта'!C574</f>
        <v>380</v>
      </c>
      <c r="AF574" s="56">
        <f>'[2]Изложницы без бурта'!D574</f>
        <v>285</v>
      </c>
      <c r="AG574" s="56">
        <f>'[2]Изложницы без бурта'!E574</f>
        <v>320</v>
      </c>
      <c r="AH574" s="56" t="str">
        <f>'[2]Изложницы без бурта'!F574</f>
        <v>72.42461 - 29</v>
      </c>
      <c r="AI574" s="56">
        <f>'[2]Изложницы без бурта'!G574</f>
        <v>0</v>
      </c>
      <c r="AJ574" s="56">
        <f>'[2]Изложницы без бурта'!H574</f>
        <v>0</v>
      </c>
      <c r="AK574" s="56">
        <f>'[2]Изложницы без бурта'!I574</f>
        <v>0</v>
      </c>
      <c r="AL574" s="56" t="s">
        <v>614</v>
      </c>
      <c r="AM574" s="56">
        <f>'[2]Изложницы без бурта'!K574</f>
        <v>0</v>
      </c>
    </row>
    <row r="575" spans="28:39" x14ac:dyDescent="0.25">
      <c r="AB575" s="253" t="str">
        <f t="shared" si="25"/>
        <v/>
      </c>
      <c r="AC575" s="254" t="str">
        <f>IF(COUNTIF(AD$78:AD575,AD575)=1,MAX(AC$78:AC574)+1,"")</f>
        <v/>
      </c>
      <c r="AD575" s="215">
        <f>'[2]Изложницы без бурта'!B575</f>
        <v>210</v>
      </c>
      <c r="AE575" s="215">
        <f>'[2]Изложницы без бурта'!C575</f>
        <v>265</v>
      </c>
      <c r="AF575" s="56">
        <f>'[2]Изложницы без бурта'!D575</f>
        <v>285</v>
      </c>
      <c r="AG575" s="56">
        <f>'[2]Изложницы без бурта'!E575</f>
        <v>320</v>
      </c>
      <c r="AH575" s="56" t="str">
        <f>'[2]Изложницы без бурта'!F575</f>
        <v>72.11870 - 29</v>
      </c>
      <c r="AI575" s="56">
        <f>'[2]Изложницы без бурта'!G575</f>
        <v>0</v>
      </c>
      <c r="AJ575" s="56">
        <f>'[2]Изложницы без бурта'!H575</f>
        <v>0</v>
      </c>
      <c r="AK575" s="56">
        <f>'[2]Изложницы без бурта'!I575</f>
        <v>0</v>
      </c>
      <c r="AL575" s="56" t="s">
        <v>614</v>
      </c>
      <c r="AM575" s="56">
        <f>'[2]Изложницы без бурта'!K575</f>
        <v>0</v>
      </c>
    </row>
    <row r="576" spans="28:39" x14ac:dyDescent="0.25">
      <c r="AB576" s="253" t="str">
        <f t="shared" si="25"/>
        <v/>
      </c>
      <c r="AC576" s="254" t="str">
        <f>IF(COUNTIF(AD$78:AD576,AD576)=1,MAX(AC$78:AC575)+1,"")</f>
        <v/>
      </c>
      <c r="AD576" s="215">
        <f>'[2]Изложницы без бурта'!B576</f>
        <v>210</v>
      </c>
      <c r="AE576" s="215">
        <f>'[2]Изложницы без бурта'!C576</f>
        <v>262</v>
      </c>
      <c r="AF576" s="56">
        <f>'[2]Изложницы без бурта'!D576</f>
        <v>285</v>
      </c>
      <c r="AG576" s="56">
        <f>'[2]Изложницы без бурта'!E576</f>
        <v>320</v>
      </c>
      <c r="AH576" s="56" t="str">
        <f>'[2]Изложницы без бурта'!F576</f>
        <v>72.11870 - 29</v>
      </c>
      <c r="AI576" s="56">
        <f>'[2]Изложницы без бурта'!G576</f>
        <v>0</v>
      </c>
      <c r="AJ576" s="56">
        <f>'[2]Изложницы без бурта'!H576</f>
        <v>0</v>
      </c>
      <c r="AK576" s="56">
        <f>'[2]Изложницы без бурта'!I576</f>
        <v>0</v>
      </c>
      <c r="AL576" s="56" t="s">
        <v>614</v>
      </c>
      <c r="AM576" s="56">
        <f>'[2]Изложницы без бурта'!K576</f>
        <v>0</v>
      </c>
    </row>
    <row r="577" spans="28:39" x14ac:dyDescent="0.25">
      <c r="AB577" s="253" t="str">
        <f t="shared" si="25"/>
        <v/>
      </c>
      <c r="AC577" s="254" t="str">
        <f>IF(COUNTIF(AD$78:AD577,AD577)=1,MAX(AC$78:AC576)+1,"")</f>
        <v/>
      </c>
      <c r="AD577" s="215">
        <f>'[2]Изложницы без бурта'!B577</f>
        <v>210</v>
      </c>
      <c r="AE577" s="215">
        <f>'[2]Изложницы без бурта'!C577</f>
        <v>380</v>
      </c>
      <c r="AF577" s="56">
        <f>'[2]Изложницы без бурта'!D577</f>
        <v>285</v>
      </c>
      <c r="AG577" s="56">
        <f>'[2]Изложницы без бурта'!E577</f>
        <v>320</v>
      </c>
      <c r="AH577" s="56" t="str">
        <f>'[2]Изложницы без бурта'!F577</f>
        <v>72.42461 - 29</v>
      </c>
      <c r="AI577" s="56">
        <f>'[2]Изложницы без бурта'!G577</f>
        <v>0</v>
      </c>
      <c r="AJ577" s="56">
        <f>'[2]Изложницы без бурта'!H577</f>
        <v>0</v>
      </c>
      <c r="AK577" s="56">
        <f>'[2]Изложницы без бурта'!I577</f>
        <v>0</v>
      </c>
      <c r="AL577" s="56" t="s">
        <v>614</v>
      </c>
      <c r="AM577" s="56">
        <f>'[2]Изложницы без бурта'!K577</f>
        <v>0</v>
      </c>
    </row>
    <row r="578" spans="28:39" x14ac:dyDescent="0.25">
      <c r="AB578" s="253" t="str">
        <f t="shared" si="25"/>
        <v/>
      </c>
      <c r="AC578" s="254" t="str">
        <f>IF(COUNTIF(AD$78:AD578,AD578)=1,MAX(AC$78:AC577)+1,"")</f>
        <v/>
      </c>
      <c r="AD578" s="215">
        <f>'[2]Изложницы без бурта'!B578</f>
        <v>210</v>
      </c>
      <c r="AE578" s="215">
        <f>'[2]Изложницы без бурта'!C578</f>
        <v>380</v>
      </c>
      <c r="AF578" s="56">
        <f>'[2]Изложницы без бурта'!D578</f>
        <v>285</v>
      </c>
      <c r="AG578" s="56">
        <f>'[2]Изложницы без бурта'!E578</f>
        <v>320</v>
      </c>
      <c r="AH578" s="56" t="str">
        <f>'[2]Изложницы без бурта'!F578</f>
        <v>72.42461 - 29</v>
      </c>
      <c r="AI578" s="56">
        <f>'[2]Изложницы без бурта'!G578</f>
        <v>0</v>
      </c>
      <c r="AJ578" s="56">
        <f>'[2]Изложницы без бурта'!H578</f>
        <v>0</v>
      </c>
      <c r="AK578" s="56">
        <f>'[2]Изложницы без бурта'!I578</f>
        <v>0</v>
      </c>
      <c r="AL578" s="56" t="s">
        <v>614</v>
      </c>
      <c r="AM578" s="56">
        <f>'[2]Изложницы без бурта'!K578</f>
        <v>0</v>
      </c>
    </row>
    <row r="579" spans="28:39" x14ac:dyDescent="0.25">
      <c r="AB579" s="253" t="str">
        <f t="shared" si="25"/>
        <v/>
      </c>
      <c r="AC579" s="254" t="str">
        <f>IF(COUNTIF(AD$78:AD579,AD579)=1,MAX(AC$78:AC578)+1,"")</f>
        <v/>
      </c>
      <c r="AD579" s="215">
        <f>'[2]Изложницы без бурта'!B579</f>
        <v>210</v>
      </c>
      <c r="AE579" s="215">
        <f>'[2]Изложницы без бурта'!C579</f>
        <v>265</v>
      </c>
      <c r="AF579" s="56">
        <f>'[2]Изложницы без бурта'!D579</f>
        <v>285</v>
      </c>
      <c r="AG579" s="56">
        <f>'[2]Изложницы без бурта'!E579</f>
        <v>320</v>
      </c>
      <c r="AH579" s="56" t="str">
        <f>'[2]Изложницы без бурта'!F579</f>
        <v>72.11870 - 29</v>
      </c>
      <c r="AI579" s="56">
        <f>'[2]Изложницы без бурта'!G579</f>
        <v>0</v>
      </c>
      <c r="AJ579" s="56">
        <f>'[2]Изложницы без бурта'!H579</f>
        <v>0</v>
      </c>
      <c r="AK579" s="56">
        <f>'[2]Изложницы без бурта'!I579</f>
        <v>0</v>
      </c>
      <c r="AL579" s="56" t="s">
        <v>614</v>
      </c>
      <c r="AM579" s="56">
        <f>'[2]Изложницы без бурта'!K579</f>
        <v>0</v>
      </c>
    </row>
    <row r="580" spans="28:39" x14ac:dyDescent="0.25">
      <c r="AB580" s="253" t="str">
        <f t="shared" si="25"/>
        <v/>
      </c>
      <c r="AC580" s="254" t="str">
        <f>IF(COUNTIF(AD$78:AD580,AD580)=1,MAX(AC$78:AC579)+1,"")</f>
        <v/>
      </c>
      <c r="AD580" s="215">
        <f>'[2]Изложницы без бурта'!B580</f>
        <v>210</v>
      </c>
      <c r="AE580" s="215">
        <f>'[2]Изложницы без бурта'!C580</f>
        <v>265</v>
      </c>
      <c r="AF580" s="56">
        <f>'[2]Изложницы без бурта'!D580</f>
        <v>285</v>
      </c>
      <c r="AG580" s="56">
        <f>'[2]Изложницы без бурта'!E580</f>
        <v>320</v>
      </c>
      <c r="AH580" s="56" t="str">
        <f>'[2]Изложницы без бурта'!F580</f>
        <v>72.11870 - 29</v>
      </c>
      <c r="AI580" s="56">
        <f>'[2]Изложницы без бурта'!G580</f>
        <v>0</v>
      </c>
      <c r="AJ580" s="56">
        <f>'[2]Изложницы без бурта'!H580</f>
        <v>0</v>
      </c>
      <c r="AK580" s="56">
        <f>'[2]Изложницы без бурта'!I580</f>
        <v>0</v>
      </c>
      <c r="AL580" s="56" t="s">
        <v>614</v>
      </c>
      <c r="AM580" s="56">
        <f>'[2]Изложницы без бурта'!K580</f>
        <v>0</v>
      </c>
    </row>
    <row r="581" spans="28:39" x14ac:dyDescent="0.25">
      <c r="AB581" s="253" t="str">
        <f t="shared" si="25"/>
        <v/>
      </c>
      <c r="AC581" s="254" t="str">
        <f>IF(COUNTIF(AD$78:AD581,AD581)=1,MAX(AC$78:AC580)+1,"")</f>
        <v/>
      </c>
      <c r="AD581" s="215">
        <f>'[2]Изложницы без бурта'!B581</f>
        <v>210</v>
      </c>
      <c r="AE581" s="215">
        <f>'[2]Изложницы без бурта'!C581</f>
        <v>376</v>
      </c>
      <c r="AF581" s="56">
        <f>'[2]Изложницы без бурта'!D581</f>
        <v>285</v>
      </c>
      <c r="AG581" s="56">
        <f>'[2]Изложницы без бурта'!E581</f>
        <v>320</v>
      </c>
      <c r="AH581" s="56" t="str">
        <f>'[2]Изложницы без бурта'!F581</f>
        <v>72.42461 - 29</v>
      </c>
      <c r="AI581" s="56">
        <f>'[2]Изложницы без бурта'!G581</f>
        <v>0</v>
      </c>
      <c r="AJ581" s="56">
        <f>'[2]Изложницы без бурта'!H581</f>
        <v>0</v>
      </c>
      <c r="AK581" s="56">
        <f>'[2]Изложницы без бурта'!I581</f>
        <v>0</v>
      </c>
      <c r="AL581" s="56" t="s">
        <v>614</v>
      </c>
      <c r="AM581" s="56">
        <f>'[2]Изложницы без бурта'!K581</f>
        <v>0</v>
      </c>
    </row>
    <row r="582" spans="28:39" x14ac:dyDescent="0.25">
      <c r="AB582" s="253" t="str">
        <f t="shared" si="25"/>
        <v/>
      </c>
      <c r="AC582" s="254" t="str">
        <f>IF(COUNTIF(AD$78:AD582,AD582)=1,MAX(AC$78:AC581)+1,"")</f>
        <v/>
      </c>
      <c r="AD582" s="215">
        <f>'[2]Изложницы без бурта'!B582</f>
        <v>210</v>
      </c>
      <c r="AE582" s="215">
        <f>'[2]Изложницы без бурта'!C582</f>
        <v>263</v>
      </c>
      <c r="AF582" s="56">
        <f>'[2]Изложницы без бурта'!D582</f>
        <v>285</v>
      </c>
      <c r="AG582" s="56">
        <f>'[2]Изложницы без бурта'!E582</f>
        <v>320</v>
      </c>
      <c r="AH582" s="56" t="str">
        <f>'[2]Изложницы без бурта'!F582</f>
        <v>72.11870 - 29</v>
      </c>
      <c r="AI582" s="56">
        <f>'[2]Изложницы без бурта'!G582</f>
        <v>0</v>
      </c>
      <c r="AJ582" s="56">
        <f>'[2]Изложницы без бурта'!H582</f>
        <v>0</v>
      </c>
      <c r="AK582" s="56">
        <f>'[2]Изложницы без бурта'!I582</f>
        <v>0</v>
      </c>
      <c r="AL582" s="56" t="s">
        <v>614</v>
      </c>
      <c r="AM582" s="56">
        <f>'[2]Изложницы без бурта'!K582</f>
        <v>0</v>
      </c>
    </row>
    <row r="583" spans="28:39" x14ac:dyDescent="0.25">
      <c r="AB583" s="253" t="str">
        <f t="shared" si="25"/>
        <v/>
      </c>
      <c r="AC583" s="254" t="str">
        <f>IF(COUNTIF(AD$78:AD583,AD583)=1,MAX(AC$78:AC582)+1,"")</f>
        <v/>
      </c>
      <c r="AD583" s="215">
        <f>'[2]Изложницы без бурта'!B583</f>
        <v>210</v>
      </c>
      <c r="AE583" s="215">
        <f>'[2]Изложницы без бурта'!C583</f>
        <v>265</v>
      </c>
      <c r="AF583" s="56">
        <f>'[2]Изложницы без бурта'!D583</f>
        <v>285</v>
      </c>
      <c r="AG583" s="56">
        <f>'[2]Изложницы без бурта'!E583</f>
        <v>320</v>
      </c>
      <c r="AH583" s="56" t="str">
        <f>'[2]Изложницы без бурта'!F583</f>
        <v>72.11870 - 29</v>
      </c>
      <c r="AI583" s="56">
        <f>'[2]Изложницы без бурта'!G583</f>
        <v>0</v>
      </c>
      <c r="AJ583" s="56">
        <f>'[2]Изложницы без бурта'!H583</f>
        <v>0</v>
      </c>
      <c r="AK583" s="56">
        <f>'[2]Изложницы без бурта'!I583</f>
        <v>0</v>
      </c>
      <c r="AL583" s="56" t="s">
        <v>614</v>
      </c>
      <c r="AM583" s="56">
        <f>'[2]Изложницы без бурта'!K583</f>
        <v>0</v>
      </c>
    </row>
    <row r="584" spans="28:39" x14ac:dyDescent="0.25">
      <c r="AB584" s="253" t="str">
        <f t="shared" si="25"/>
        <v/>
      </c>
      <c r="AC584" s="254" t="str">
        <f>IF(COUNTIF(AD$78:AD584,AD584)=1,MAX(AC$78:AC583)+1,"")</f>
        <v/>
      </c>
      <c r="AD584" s="215">
        <f>'[2]Изложницы без бурта'!B584</f>
        <v>210</v>
      </c>
      <c r="AE584" s="215">
        <f>'[2]Изложницы без бурта'!C584</f>
        <v>263</v>
      </c>
      <c r="AF584" s="56">
        <f>'[2]Изложницы без бурта'!D584</f>
        <v>285</v>
      </c>
      <c r="AG584" s="56">
        <f>'[2]Изложницы без бурта'!E584</f>
        <v>320</v>
      </c>
      <c r="AH584" s="56" t="str">
        <f>'[2]Изложницы без бурта'!F584</f>
        <v>72.11870 - 29</v>
      </c>
      <c r="AI584" s="56">
        <f>'[2]Изложницы без бурта'!G584</f>
        <v>0</v>
      </c>
      <c r="AJ584" s="56">
        <f>'[2]Изложницы без бурта'!H584</f>
        <v>0</v>
      </c>
      <c r="AK584" s="56">
        <f>'[2]Изложницы без бурта'!I584</f>
        <v>0</v>
      </c>
      <c r="AL584" s="56" t="s">
        <v>614</v>
      </c>
      <c r="AM584" s="56">
        <f>'[2]Изложницы без бурта'!K584</f>
        <v>0</v>
      </c>
    </row>
    <row r="585" spans="28:39" x14ac:dyDescent="0.25">
      <c r="AB585" s="253" t="str">
        <f t="shared" si="25"/>
        <v/>
      </c>
      <c r="AC585" s="254" t="str">
        <f>IF(COUNTIF(AD$78:AD585,AD585)=1,MAX(AC$78:AC584)+1,"")</f>
        <v/>
      </c>
      <c r="AD585" s="215">
        <f>'[2]Изложницы без бурта'!B585</f>
        <v>210</v>
      </c>
      <c r="AE585" s="215">
        <f>'[2]Изложницы без бурта'!C585</f>
        <v>398</v>
      </c>
      <c r="AF585" s="56">
        <f>'[2]Изложницы без бурта'!D585</f>
        <v>285</v>
      </c>
      <c r="AG585" s="56">
        <f>'[2]Изложницы без бурта'!E585</f>
        <v>320</v>
      </c>
      <c r="AH585" s="56" t="str">
        <f>'[2]Изложницы без бурта'!F585</f>
        <v>10.255223 - 5</v>
      </c>
      <c r="AI585" s="56">
        <f>'[2]Изложницы без бурта'!G585</f>
        <v>7260023</v>
      </c>
      <c r="AJ585" s="56">
        <f>'[2]Изложницы без бурта'!H585</f>
        <v>0</v>
      </c>
      <c r="AK585" s="56">
        <f>'[2]Изложницы без бурта'!I585</f>
        <v>0</v>
      </c>
      <c r="AL585" s="56" t="s">
        <v>614</v>
      </c>
      <c r="AM585" s="56">
        <f>'[2]Изложницы без бурта'!K585</f>
        <v>0</v>
      </c>
    </row>
    <row r="586" spans="28:39" x14ac:dyDescent="0.25">
      <c r="AB586" s="253" t="str">
        <f t="shared" si="25"/>
        <v/>
      </c>
      <c r="AC586" s="254" t="str">
        <f>IF(COUNTIF(AD$78:AD586,AD586)=1,MAX(AC$78:AC585)+1,"")</f>
        <v/>
      </c>
      <c r="AD586" s="215">
        <f>'[2]Изложницы без бурта'!B586</f>
        <v>210</v>
      </c>
      <c r="AE586" s="215">
        <f>'[2]Изложницы без бурта'!C586</f>
        <v>400</v>
      </c>
      <c r="AF586" s="56">
        <f>'[2]Изложницы без бурта'!D586</f>
        <v>285</v>
      </c>
      <c r="AG586" s="56">
        <f>'[2]Изложницы без бурта'!E586</f>
        <v>320</v>
      </c>
      <c r="AH586" s="56" t="str">
        <f>'[2]Изложницы без бурта'!F586</f>
        <v>10.255223 - 5</v>
      </c>
      <c r="AI586" s="56">
        <f>'[2]Изложницы без бурта'!G586</f>
        <v>7260023</v>
      </c>
      <c r="AJ586" s="56" t="str">
        <f>'[2]Изложницы без бурта'!H586</f>
        <v>Н.Н. - нет кокиля - 26.07.2022</v>
      </c>
      <c r="AK586" s="56">
        <f>'[2]Изложницы без бурта'!I586</f>
        <v>0</v>
      </c>
      <c r="AL586" s="56" t="s">
        <v>614</v>
      </c>
      <c r="AM586" s="56">
        <f>'[2]Изложницы без бурта'!K586</f>
        <v>0</v>
      </c>
    </row>
    <row r="587" spans="28:39" x14ac:dyDescent="0.25">
      <c r="AB587" s="253" t="str">
        <f t="shared" si="25"/>
        <v/>
      </c>
      <c r="AC587" s="254" t="str">
        <f>IF(COUNTIF(AD$78:AD587,AD587)=1,MAX(AC$78:AC586)+1,"")</f>
        <v/>
      </c>
      <c r="AD587" s="215">
        <f>'[2]Изложницы без бурта'!B587</f>
        <v>210</v>
      </c>
      <c r="AE587" s="215">
        <f>'[2]Изложницы без бурта'!C587</f>
        <v>380</v>
      </c>
      <c r="AF587" s="56">
        <f>'[2]Изложницы без бурта'!D587</f>
        <v>285</v>
      </c>
      <c r="AG587" s="56">
        <f>'[2]Изложницы без бурта'!E587</f>
        <v>320</v>
      </c>
      <c r="AH587" s="56" t="str">
        <f>'[2]Изложницы без бурта'!F587</f>
        <v>72.42461 - 29</v>
      </c>
      <c r="AI587" s="56">
        <f>'[2]Изложницы без бурта'!G587</f>
        <v>0</v>
      </c>
      <c r="AJ587" s="56">
        <f>'[2]Изложницы без бурта'!H587</f>
        <v>0</v>
      </c>
      <c r="AK587" s="56">
        <f>'[2]Изложницы без бурта'!I587</f>
        <v>0</v>
      </c>
      <c r="AL587" s="56" t="s">
        <v>614</v>
      </c>
      <c r="AM587" s="56">
        <f>'[2]Изложницы без бурта'!K587</f>
        <v>0</v>
      </c>
    </row>
    <row r="588" spans="28:39" x14ac:dyDescent="0.25">
      <c r="AB588" s="253" t="str">
        <f t="shared" si="25"/>
        <v/>
      </c>
      <c r="AC588" s="254" t="str">
        <f>IF(COUNTIF(AD$78:AD588,AD588)=1,MAX(AC$78:AC587)+1,"")</f>
        <v/>
      </c>
      <c r="AD588" s="215">
        <f>'[2]Изложницы без бурта'!B588</f>
        <v>210</v>
      </c>
      <c r="AE588" s="215">
        <f>'[2]Изложницы без бурта'!C588</f>
        <v>263</v>
      </c>
      <c r="AF588" s="56">
        <f>'[2]Изложницы без бурта'!D588</f>
        <v>285</v>
      </c>
      <c r="AG588" s="56">
        <f>'[2]Изложницы без бурта'!E588</f>
        <v>320</v>
      </c>
      <c r="AH588" s="56" t="str">
        <f>'[2]Изложницы без бурта'!F588</f>
        <v>72.11870 - 29</v>
      </c>
      <c r="AI588" s="56">
        <f>'[2]Изложницы без бурта'!G588</f>
        <v>0</v>
      </c>
      <c r="AJ588" s="56">
        <f>'[2]Изложницы без бурта'!H588</f>
        <v>0</v>
      </c>
      <c r="AK588" s="56">
        <f>'[2]Изложницы без бурта'!I588</f>
        <v>0</v>
      </c>
      <c r="AL588" s="56" t="s">
        <v>614</v>
      </c>
      <c r="AM588" s="56">
        <f>'[2]Изложницы без бурта'!K588</f>
        <v>0</v>
      </c>
    </row>
    <row r="589" spans="28:39" x14ac:dyDescent="0.25">
      <c r="AB589" s="253" t="str">
        <f t="shared" si="25"/>
        <v/>
      </c>
      <c r="AC589" s="254" t="str">
        <f>IF(COUNTIF(AD$78:AD589,AD589)=1,MAX(AC$78:AC588)+1,"")</f>
        <v/>
      </c>
      <c r="AD589" s="215">
        <f>'[2]Изложницы без бурта'!B589</f>
        <v>210</v>
      </c>
      <c r="AE589" s="215">
        <f>'[2]Изложницы без бурта'!C589</f>
        <v>377</v>
      </c>
      <c r="AF589" s="56">
        <f>'[2]Изложницы без бурта'!D589</f>
        <v>285</v>
      </c>
      <c r="AG589" s="56">
        <f>'[2]Изложницы без бурта'!E589</f>
        <v>320</v>
      </c>
      <c r="AH589" s="56" t="str">
        <f>'[2]Изложницы без бурта'!F589</f>
        <v>72.42461 - 29</v>
      </c>
      <c r="AI589" s="56">
        <f>'[2]Изложницы без бурта'!G589</f>
        <v>0</v>
      </c>
      <c r="AJ589" s="56">
        <f>'[2]Изложницы без бурта'!H589</f>
        <v>0</v>
      </c>
      <c r="AK589" s="56">
        <f>'[2]Изложницы без бурта'!I589</f>
        <v>0</v>
      </c>
      <c r="AL589" s="56" t="s">
        <v>614</v>
      </c>
      <c r="AM589" s="56">
        <f>'[2]Изложницы без бурта'!K589</f>
        <v>0</v>
      </c>
    </row>
    <row r="590" spans="28:39" x14ac:dyDescent="0.25">
      <c r="AB590" s="253" t="str">
        <f t="shared" si="25"/>
        <v/>
      </c>
      <c r="AC590" s="254" t="str">
        <f>IF(COUNTIF(AD$78:AD590,AD590)=1,MAX(AC$78:AC589)+1,"")</f>
        <v/>
      </c>
      <c r="AD590" s="215">
        <f>'[2]Изложницы без бурта'!B590</f>
        <v>210</v>
      </c>
      <c r="AE590" s="215">
        <f>'[2]Изложницы без бурта'!C590</f>
        <v>318</v>
      </c>
      <c r="AF590" s="56">
        <f>'[2]Изложницы без бурта'!D590</f>
        <v>285</v>
      </c>
      <c r="AG590" s="56">
        <f>'[2]Изложницы без бурта'!E590</f>
        <v>320</v>
      </c>
      <c r="AH590" s="56" t="str">
        <f>'[2]Изложницы без бурта'!F590</f>
        <v>72.11871 - 29</v>
      </c>
      <c r="AI590" s="56">
        <f>'[2]Изложницы без бурта'!G590</f>
        <v>0</v>
      </c>
      <c r="AJ590" s="56">
        <f>'[2]Изложницы без бурта'!H590</f>
        <v>0</v>
      </c>
      <c r="AK590" s="56">
        <f>'[2]Изложницы без бурта'!I590</f>
        <v>0</v>
      </c>
      <c r="AL590" s="56" t="s">
        <v>614</v>
      </c>
      <c r="AM590" s="56">
        <f>'[2]Изложницы без бурта'!K590</f>
        <v>0</v>
      </c>
    </row>
    <row r="591" spans="28:39" x14ac:dyDescent="0.25">
      <c r="AB591" s="253" t="str">
        <f t="shared" si="25"/>
        <v/>
      </c>
      <c r="AC591" s="254" t="str">
        <f>IF(COUNTIF(AD$78:AD591,AD591)=1,MAX(AC$78:AC590)+1,"")</f>
        <v/>
      </c>
      <c r="AD591" s="215">
        <f>'[2]Изложницы без бурта'!B591</f>
        <v>210</v>
      </c>
      <c r="AE591" s="215">
        <f>'[2]Изложницы без бурта'!C591</f>
        <v>320</v>
      </c>
      <c r="AF591" s="56">
        <f>'[2]Изложницы без бурта'!D591</f>
        <v>285</v>
      </c>
      <c r="AG591" s="56">
        <f>'[2]Изложницы без бурта'!E591</f>
        <v>320</v>
      </c>
      <c r="AH591" s="56" t="str">
        <f>'[2]Изложницы без бурта'!F591</f>
        <v>72.11871 - 29</v>
      </c>
      <c r="AI591" s="56">
        <f>'[2]Изложницы без бурта'!G591</f>
        <v>0</v>
      </c>
      <c r="AJ591" s="56">
        <f>'[2]Изложницы без бурта'!H591</f>
        <v>0</v>
      </c>
      <c r="AK591" s="56">
        <f>'[2]Изложницы без бурта'!I591</f>
        <v>0</v>
      </c>
      <c r="AL591" s="56" t="s">
        <v>614</v>
      </c>
      <c r="AM591" s="56">
        <f>'[2]Изложницы без бурта'!K591</f>
        <v>0</v>
      </c>
    </row>
    <row r="592" spans="28:39" x14ac:dyDescent="0.25">
      <c r="AB592" s="253" t="str">
        <f t="shared" si="25"/>
        <v/>
      </c>
      <c r="AC592" s="254" t="str">
        <f>IF(COUNTIF(AD$78:AD592,AD592)=1,MAX(AC$78:AC591)+1,"")</f>
        <v/>
      </c>
      <c r="AD592" s="215">
        <f>'[2]Изложницы без бурта'!B592</f>
        <v>210</v>
      </c>
      <c r="AE592" s="215">
        <f>'[2]Изложницы без бурта'!C592</f>
        <v>315</v>
      </c>
      <c r="AF592" s="56">
        <f>'[2]Изложницы без бурта'!D592</f>
        <v>285</v>
      </c>
      <c r="AG592" s="56">
        <f>'[2]Изложницы без бурта'!E592</f>
        <v>320</v>
      </c>
      <c r="AH592" s="56" t="str">
        <f>'[2]Изложницы без бурта'!F592</f>
        <v>72.11871 - 29</v>
      </c>
      <c r="AI592" s="56">
        <f>'[2]Изложницы без бурта'!G592</f>
        <v>0</v>
      </c>
      <c r="AJ592" s="56">
        <f>'[2]Изложницы без бурта'!H592</f>
        <v>0</v>
      </c>
      <c r="AK592" s="56">
        <f>'[2]Изложницы без бурта'!I592</f>
        <v>0</v>
      </c>
      <c r="AL592" s="56" t="s">
        <v>614</v>
      </c>
      <c r="AM592" s="56">
        <f>'[2]Изложницы без бурта'!K592</f>
        <v>0</v>
      </c>
    </row>
    <row r="593" spans="28:39" x14ac:dyDescent="0.25">
      <c r="AB593" s="253" t="str">
        <f t="shared" si="25"/>
        <v/>
      </c>
      <c r="AC593" s="254" t="str">
        <f>IF(COUNTIF(AD$78:AD593,AD593)=1,MAX(AC$78:AC592)+1,"")</f>
        <v/>
      </c>
      <c r="AD593" s="215">
        <f>'[2]Изложницы без бурта'!B593</f>
        <v>210</v>
      </c>
      <c r="AE593" s="215">
        <f>'[2]Изложницы без бурта'!C593</f>
        <v>263</v>
      </c>
      <c r="AF593" s="56">
        <f>'[2]Изложницы без бурта'!D593</f>
        <v>285</v>
      </c>
      <c r="AG593" s="56">
        <f>'[2]Изложницы без бурта'!E593</f>
        <v>320</v>
      </c>
      <c r="AH593" s="56" t="str">
        <f>'[2]Изложницы без бурта'!F593</f>
        <v>72.11870 - 29</v>
      </c>
      <c r="AI593" s="56">
        <f>'[2]Изложницы без бурта'!G593</f>
        <v>0</v>
      </c>
      <c r="AJ593" s="56">
        <f>'[2]Изложницы без бурта'!H593</f>
        <v>0</v>
      </c>
      <c r="AK593" s="56">
        <f>'[2]Изложницы без бурта'!I593</f>
        <v>0</v>
      </c>
      <c r="AL593" s="56" t="s">
        <v>614</v>
      </c>
      <c r="AM593" s="56">
        <f>'[2]Изложницы без бурта'!K593</f>
        <v>0</v>
      </c>
    </row>
    <row r="594" spans="28:39" x14ac:dyDescent="0.25">
      <c r="AB594" s="253" t="str">
        <f t="shared" si="25"/>
        <v/>
      </c>
      <c r="AC594" s="254" t="str">
        <f>IF(COUNTIF(AD$78:AD594,AD594)=1,MAX(AC$78:AC593)+1,"")</f>
        <v/>
      </c>
      <c r="AD594" s="215">
        <f>'[2]Изложницы без бурта'!B594</f>
        <v>210</v>
      </c>
      <c r="AE594" s="215">
        <f>'[2]Изложницы без бурта'!C594</f>
        <v>263</v>
      </c>
      <c r="AF594" s="56">
        <f>'[2]Изложницы без бурта'!D594</f>
        <v>285</v>
      </c>
      <c r="AG594" s="56">
        <f>'[2]Изложницы без бурта'!E594</f>
        <v>320</v>
      </c>
      <c r="AH594" s="56" t="str">
        <f>'[2]Изложницы без бурта'!F594</f>
        <v>72.11870 - 29</v>
      </c>
      <c r="AI594" s="56">
        <f>'[2]Изложницы без бурта'!G594</f>
        <v>0</v>
      </c>
      <c r="AJ594" s="56">
        <f>'[2]Изложницы без бурта'!H594</f>
        <v>0</v>
      </c>
      <c r="AK594" s="56">
        <f>'[2]Изложницы без бурта'!I594</f>
        <v>0</v>
      </c>
      <c r="AL594" s="56" t="s">
        <v>614</v>
      </c>
      <c r="AM594" s="56">
        <f>'[2]Изложницы без бурта'!K594</f>
        <v>0</v>
      </c>
    </row>
    <row r="595" spans="28:39" x14ac:dyDescent="0.25">
      <c r="AB595" s="253" t="str">
        <f t="shared" si="25"/>
        <v/>
      </c>
      <c r="AC595" s="254" t="str">
        <f>IF(COUNTIF(AD$78:AD595,AD595)=1,MAX(AC$78:AC594)+1,"")</f>
        <v/>
      </c>
      <c r="AD595" s="215">
        <f>'[2]Изложницы без бурта'!B595</f>
        <v>210</v>
      </c>
      <c r="AE595" s="215">
        <f>'[2]Изложницы без бурта'!C595</f>
        <v>263</v>
      </c>
      <c r="AF595" s="56">
        <f>'[2]Изложницы без бурта'!D595</f>
        <v>285</v>
      </c>
      <c r="AG595" s="56">
        <f>'[2]Изложницы без бурта'!E595</f>
        <v>320</v>
      </c>
      <c r="AH595" s="56" t="str">
        <f>'[2]Изложницы без бурта'!F595</f>
        <v>72.11870 - 29</v>
      </c>
      <c r="AI595" s="56">
        <f>'[2]Изложницы без бурта'!G595</f>
        <v>0</v>
      </c>
      <c r="AJ595" s="56">
        <f>'[2]Изложницы без бурта'!H595</f>
        <v>0</v>
      </c>
      <c r="AK595" s="56">
        <f>'[2]Изложницы без бурта'!I595</f>
        <v>0</v>
      </c>
      <c r="AL595" s="56" t="s">
        <v>614</v>
      </c>
      <c r="AM595" s="56">
        <f>'[2]Изложницы без бурта'!K595</f>
        <v>0</v>
      </c>
    </row>
    <row r="596" spans="28:39" x14ac:dyDescent="0.25">
      <c r="AB596" s="253" t="str">
        <f t="shared" si="25"/>
        <v/>
      </c>
      <c r="AC596" s="254" t="str">
        <f>IF(COUNTIF(AD$78:AD596,AD596)=1,MAX(AC$78:AC595)+1,"")</f>
        <v/>
      </c>
      <c r="AD596" s="215">
        <f>'[2]Изложницы без бурта'!B596</f>
        <v>210</v>
      </c>
      <c r="AE596" s="215">
        <f>'[2]Изложницы без бурта'!C596</f>
        <v>380</v>
      </c>
      <c r="AF596" s="56">
        <f>'[2]Изложницы без бурта'!D596</f>
        <v>285</v>
      </c>
      <c r="AG596" s="56">
        <f>'[2]Изложницы без бурта'!E596</f>
        <v>320</v>
      </c>
      <c r="AH596" s="56" t="str">
        <f>'[2]Изложницы без бурта'!F596</f>
        <v>72.42461 - 29</v>
      </c>
      <c r="AI596" s="56">
        <f>'[2]Изложницы без бурта'!G596</f>
        <v>0</v>
      </c>
      <c r="AJ596" s="56">
        <f>'[2]Изложницы без бурта'!H596</f>
        <v>0</v>
      </c>
      <c r="AK596" s="56">
        <f>'[2]Изложницы без бурта'!I596</f>
        <v>0</v>
      </c>
      <c r="AL596" s="56" t="s">
        <v>614</v>
      </c>
      <c r="AM596" s="56">
        <f>'[2]Изложницы без бурта'!K596</f>
        <v>0</v>
      </c>
    </row>
    <row r="597" spans="28:39" x14ac:dyDescent="0.25">
      <c r="AB597" s="253" t="str">
        <f t="shared" si="25"/>
        <v/>
      </c>
      <c r="AC597" s="254" t="str">
        <f>IF(COUNTIF(AD$78:AD597,AD597)=1,MAX(AC$78:AC596)+1,"")</f>
        <v/>
      </c>
      <c r="AD597" s="215">
        <f>'[2]Изложницы без бурта'!B597</f>
        <v>210</v>
      </c>
      <c r="AE597" s="215">
        <f>'[2]Изложницы без бурта'!C597</f>
        <v>375</v>
      </c>
      <c r="AF597" s="56">
        <f>'[2]Изложницы без бурта'!D597</f>
        <v>285</v>
      </c>
      <c r="AG597" s="56">
        <f>'[2]Изложницы без бурта'!E597</f>
        <v>320</v>
      </c>
      <c r="AH597" s="56" t="str">
        <f>'[2]Изложницы без бурта'!F597</f>
        <v>72.42461 - 29</v>
      </c>
      <c r="AI597" s="56">
        <f>'[2]Изложницы без бурта'!G597</f>
        <v>0</v>
      </c>
      <c r="AJ597" s="56">
        <f>'[2]Изложницы без бурта'!H597</f>
        <v>0</v>
      </c>
      <c r="AK597" s="56">
        <f>'[2]Изложницы без бурта'!I597</f>
        <v>0</v>
      </c>
      <c r="AL597" s="56" t="s">
        <v>614</v>
      </c>
      <c r="AM597" s="56">
        <f>'[2]Изложницы без бурта'!K597</f>
        <v>0</v>
      </c>
    </row>
    <row r="598" spans="28:39" x14ac:dyDescent="0.25">
      <c r="AB598" s="253" t="str">
        <f t="shared" si="25"/>
        <v/>
      </c>
      <c r="AC598" s="254" t="str">
        <f>IF(COUNTIF(AD$78:AD598,AD598)=1,MAX(AC$78:AC597)+1,"")</f>
        <v/>
      </c>
      <c r="AD598" s="215">
        <f>'[2]Изложницы без бурта'!B598</f>
        <v>210</v>
      </c>
      <c r="AE598" s="215">
        <f>'[2]Изложницы без бурта'!C598</f>
        <v>375</v>
      </c>
      <c r="AF598" s="56">
        <f>'[2]Изложницы без бурта'!D598</f>
        <v>285</v>
      </c>
      <c r="AG598" s="56">
        <f>'[2]Изложницы без бурта'!E598</f>
        <v>320</v>
      </c>
      <c r="AH598" s="56" t="str">
        <f>'[2]Изложницы без бурта'!F598</f>
        <v>72.42461 - 29</v>
      </c>
      <c r="AI598" s="56">
        <f>'[2]Изложницы без бурта'!G598</f>
        <v>0</v>
      </c>
      <c r="AJ598" s="56">
        <f>'[2]Изложницы без бурта'!H598</f>
        <v>0</v>
      </c>
      <c r="AK598" s="56">
        <f>'[2]Изложницы без бурта'!I598</f>
        <v>0</v>
      </c>
      <c r="AL598" s="56" t="s">
        <v>614</v>
      </c>
      <c r="AM598" s="56">
        <f>'[2]Изложницы без бурта'!K598</f>
        <v>0</v>
      </c>
    </row>
    <row r="599" spans="28:39" x14ac:dyDescent="0.25">
      <c r="AB599" s="253" t="str">
        <f t="shared" si="25"/>
        <v/>
      </c>
      <c r="AC599" s="254">
        <f>IF(COUNTIF(AD$78:AD599,AD599)=1,MAX(AC$78:AC598)+1,"")</f>
        <v>50</v>
      </c>
      <c r="AD599" s="215">
        <f>'[2]Изложницы без бурта'!B599</f>
        <v>212.5</v>
      </c>
      <c r="AE599" s="215">
        <f>'[2]Изложницы без бурта'!C599</f>
        <v>320</v>
      </c>
      <c r="AF599" s="56">
        <f>'[2]Изложницы без бурта'!D599</f>
        <v>285</v>
      </c>
      <c r="AG599" s="56">
        <f>'[2]Изложницы без бурта'!E599</f>
        <v>320</v>
      </c>
      <c r="AH599" s="56" t="str">
        <f>'[2]Изложницы без бурта'!F599</f>
        <v>72.11871 - 30</v>
      </c>
      <c r="AI599" s="56">
        <f>'[2]Изложницы без бурта'!G599</f>
        <v>7260024</v>
      </c>
      <c r="AJ599" s="56">
        <f>'[2]Изложницы без бурта'!H599</f>
        <v>0</v>
      </c>
      <c r="AK599" s="56">
        <f>'[2]Изложницы без бурта'!I599</f>
        <v>0</v>
      </c>
      <c r="AL599" s="56" t="s">
        <v>615</v>
      </c>
      <c r="AM599" s="56">
        <f>'[2]Изложницы без бурта'!K599</f>
        <v>0</v>
      </c>
    </row>
    <row r="600" spans="28:39" x14ac:dyDescent="0.25">
      <c r="AB600" s="253" t="str">
        <f t="shared" si="25"/>
        <v/>
      </c>
      <c r="AC600" s="254" t="str">
        <f>IF(COUNTIF(AD$78:AD600,AD600)=1,MAX(AC$78:AC599)+1,"")</f>
        <v/>
      </c>
      <c r="AD600" s="215">
        <f>'[2]Изложницы без бурта'!B600</f>
        <v>212.5</v>
      </c>
      <c r="AE600" s="215">
        <f>'[2]Изложницы без бурта'!C600</f>
        <v>263</v>
      </c>
      <c r="AF600" s="56">
        <f>'[2]Изложницы без бурта'!D600</f>
        <v>285</v>
      </c>
      <c r="AG600" s="56">
        <f>'[2]Изложницы без бурта'!E600</f>
        <v>320</v>
      </c>
      <c r="AH600" s="56" t="str">
        <f>'[2]Изложницы без бурта'!F600</f>
        <v>72.11870 - 30</v>
      </c>
      <c r="AI600" s="56">
        <f>'[2]Изложницы без бурта'!G600</f>
        <v>0</v>
      </c>
      <c r="AJ600" s="56">
        <f>'[2]Изложницы без бурта'!H600</f>
        <v>0</v>
      </c>
      <c r="AK600" s="56">
        <f>'[2]Изложницы без бурта'!I600</f>
        <v>0</v>
      </c>
      <c r="AL600" s="56" t="s">
        <v>615</v>
      </c>
      <c r="AM600" s="56">
        <f>'[2]Изложницы без бурта'!K600</f>
        <v>0</v>
      </c>
    </row>
    <row r="601" spans="28:39" x14ac:dyDescent="0.25">
      <c r="AB601" s="253" t="str">
        <f t="shared" si="25"/>
        <v/>
      </c>
      <c r="AC601" s="254" t="str">
        <f>IF(COUNTIF(AD$78:AD601,AD601)=1,MAX(AC$78:AC600)+1,"")</f>
        <v/>
      </c>
      <c r="AD601" s="215">
        <f>'[2]Изложницы без бурта'!B601</f>
        <v>212.5</v>
      </c>
      <c r="AE601" s="215">
        <f>'[2]Изложницы без бурта'!C601</f>
        <v>400</v>
      </c>
      <c r="AF601" s="56">
        <f>'[2]Изложницы без бурта'!D601</f>
        <v>285</v>
      </c>
      <c r="AG601" s="56">
        <f>'[2]Изложницы без бурта'!E601</f>
        <v>320</v>
      </c>
      <c r="AH601" s="56" t="str">
        <f>'[2]Изложницы без бурта'!F601</f>
        <v>10.255223 - 6</v>
      </c>
      <c r="AI601" s="56">
        <f>'[2]Изложницы без бурта'!G601</f>
        <v>0</v>
      </c>
      <c r="AJ601" s="56">
        <f>'[2]Изложницы без бурта'!H601</f>
        <v>0</v>
      </c>
      <c r="AK601" s="56">
        <f>'[2]Изложницы без бурта'!I601</f>
        <v>0</v>
      </c>
      <c r="AL601" s="56" t="s">
        <v>615</v>
      </c>
      <c r="AM601" s="56">
        <f>'[2]Изложницы без бурта'!K601</f>
        <v>0</v>
      </c>
    </row>
    <row r="602" spans="28:39" x14ac:dyDescent="0.25">
      <c r="AB602" s="253" t="str">
        <f t="shared" si="25"/>
        <v/>
      </c>
      <c r="AC602" s="254" t="str">
        <f>IF(COUNTIF(AD$78:AD602,AD602)=1,MAX(AC$78:AC601)+1,"")</f>
        <v/>
      </c>
      <c r="AD602" s="215">
        <f>'[2]Изложницы без бурта'!B602</f>
        <v>212.5</v>
      </c>
      <c r="AE602" s="215">
        <f>'[2]Изложницы без бурта'!C602</f>
        <v>375</v>
      </c>
      <c r="AF602" s="56">
        <f>'[2]Изложницы без бурта'!D602</f>
        <v>285</v>
      </c>
      <c r="AG602" s="56">
        <f>'[2]Изложницы без бурта'!E602</f>
        <v>320</v>
      </c>
      <c r="AH602" s="56" t="str">
        <f>'[2]Изложницы без бурта'!F602</f>
        <v>72.42461 - 30</v>
      </c>
      <c r="AI602" s="56">
        <f>'[2]Изложницы без бурта'!G602</f>
        <v>0</v>
      </c>
      <c r="AJ602" s="56">
        <f>'[2]Изложницы без бурта'!H602</f>
        <v>0</v>
      </c>
      <c r="AK602" s="56">
        <f>'[2]Изложницы без бурта'!I602</f>
        <v>0</v>
      </c>
      <c r="AL602" s="56" t="s">
        <v>615</v>
      </c>
      <c r="AM602" s="56">
        <f>'[2]Изложницы без бурта'!K602</f>
        <v>0</v>
      </c>
    </row>
    <row r="603" spans="28:39" x14ac:dyDescent="0.25">
      <c r="AB603" s="253" t="str">
        <f t="shared" si="25"/>
        <v/>
      </c>
      <c r="AC603" s="254" t="str">
        <f>IF(COUNTIF(AD$78:AD603,AD603)=1,MAX(AC$78:AC602)+1,"")</f>
        <v/>
      </c>
      <c r="AD603" s="215">
        <f>'[2]Изложницы без бурта'!B603</f>
        <v>212.5</v>
      </c>
      <c r="AE603" s="215">
        <f>'[2]Изложницы без бурта'!C603</f>
        <v>380</v>
      </c>
      <c r="AF603" s="56">
        <f>'[2]Изложницы без бурта'!D603</f>
        <v>285</v>
      </c>
      <c r="AG603" s="56">
        <f>'[2]Изложницы без бурта'!E603</f>
        <v>320</v>
      </c>
      <c r="AH603" s="56" t="str">
        <f>'[2]Изложницы без бурта'!F603</f>
        <v>72.42461 - 30</v>
      </c>
      <c r="AI603" s="56">
        <f>'[2]Изложницы без бурта'!G603</f>
        <v>0</v>
      </c>
      <c r="AJ603" s="56">
        <f>'[2]Изложницы без бурта'!H603</f>
        <v>0</v>
      </c>
      <c r="AK603" s="56">
        <f>'[2]Изложницы без бурта'!I603</f>
        <v>0</v>
      </c>
      <c r="AL603" s="56" t="s">
        <v>615</v>
      </c>
      <c r="AM603" s="56">
        <f>'[2]Изложницы без бурта'!K603</f>
        <v>0</v>
      </c>
    </row>
    <row r="604" spans="28:39" x14ac:dyDescent="0.25">
      <c r="AB604" s="253" t="str">
        <f t="shared" si="25"/>
        <v/>
      </c>
      <c r="AC604" s="254" t="str">
        <f>IF(COUNTIF(AD$78:AD604,AD604)=1,MAX(AC$78:AC603)+1,"")</f>
        <v/>
      </c>
      <c r="AD604" s="215">
        <f>'[2]Изложницы без бурта'!B604</f>
        <v>212.5</v>
      </c>
      <c r="AE604" s="215">
        <f>'[2]Изложницы без бурта'!C604</f>
        <v>320</v>
      </c>
      <c r="AF604" s="56">
        <f>'[2]Изложницы без бурта'!D604</f>
        <v>285</v>
      </c>
      <c r="AG604" s="56">
        <f>'[2]Изложницы без бурта'!E604</f>
        <v>320</v>
      </c>
      <c r="AH604" s="56" t="str">
        <f>'[2]Изложницы без бурта'!F604</f>
        <v>72.11871 - 30</v>
      </c>
      <c r="AI604" s="56">
        <f>'[2]Изложницы без бурта'!G604</f>
        <v>7260024</v>
      </c>
      <c r="AJ604" s="56">
        <f>'[2]Изложницы без бурта'!H604</f>
        <v>0</v>
      </c>
      <c r="AK604" s="56">
        <f>'[2]Изложницы без бурта'!I604</f>
        <v>0</v>
      </c>
      <c r="AL604" s="56" t="s">
        <v>615</v>
      </c>
      <c r="AM604" s="56">
        <f>'[2]Изложницы без бурта'!K604</f>
        <v>0</v>
      </c>
    </row>
    <row r="605" spans="28:39" x14ac:dyDescent="0.25">
      <c r="AB605" s="253" t="str">
        <f t="shared" si="25"/>
        <v/>
      </c>
      <c r="AC605" s="254" t="str">
        <f>IF(COUNTIF(AD$78:AD605,AD605)=1,MAX(AC$78:AC604)+1,"")</f>
        <v/>
      </c>
      <c r="AD605" s="215">
        <f>'[2]Изложницы без бурта'!B605</f>
        <v>212.5</v>
      </c>
      <c r="AE605" s="215">
        <f>'[2]Изложницы без бурта'!C605</f>
        <v>375</v>
      </c>
      <c r="AF605" s="56">
        <f>'[2]Изложницы без бурта'!D605</f>
        <v>285</v>
      </c>
      <c r="AG605" s="56">
        <f>'[2]Изложницы без бурта'!E605</f>
        <v>320</v>
      </c>
      <c r="AH605" s="56" t="str">
        <f>'[2]Изложницы без бурта'!F605</f>
        <v>72.42461 - 30</v>
      </c>
      <c r="AI605" s="56">
        <f>'[2]Изложницы без бурта'!G605</f>
        <v>0</v>
      </c>
      <c r="AJ605" s="56">
        <f>'[2]Изложницы без бурта'!H605</f>
        <v>0</v>
      </c>
      <c r="AK605" s="56">
        <f>'[2]Изложницы без бурта'!I605</f>
        <v>0</v>
      </c>
      <c r="AL605" s="56" t="s">
        <v>615</v>
      </c>
      <c r="AM605" s="56">
        <f>'[2]Изложницы без бурта'!K605</f>
        <v>0</v>
      </c>
    </row>
    <row r="606" spans="28:39" x14ac:dyDescent="0.25">
      <c r="AB606" s="253" t="str">
        <f t="shared" si="25"/>
        <v/>
      </c>
      <c r="AC606" s="254" t="str">
        <f>IF(COUNTIF(AD$78:AD606,AD606)=1,MAX(AC$78:AC605)+1,"")</f>
        <v/>
      </c>
      <c r="AD606" s="215">
        <f>'[2]Изложницы без бурта'!B606</f>
        <v>212.5</v>
      </c>
      <c r="AE606" s="215">
        <f>'[2]Изложницы без бурта'!C606</f>
        <v>375</v>
      </c>
      <c r="AF606" s="56">
        <f>'[2]Изложницы без бурта'!D606</f>
        <v>285</v>
      </c>
      <c r="AG606" s="56">
        <f>'[2]Изложницы без бурта'!E606</f>
        <v>320</v>
      </c>
      <c r="AH606" s="56" t="str">
        <f>'[2]Изложницы без бурта'!F606</f>
        <v>72.42461 - 30</v>
      </c>
      <c r="AI606" s="56">
        <f>'[2]Изложницы без бурта'!G606</f>
        <v>0</v>
      </c>
      <c r="AJ606" s="56">
        <f>'[2]Изложницы без бурта'!H606</f>
        <v>0</v>
      </c>
      <c r="AK606" s="56">
        <f>'[2]Изложницы без бурта'!I606</f>
        <v>0</v>
      </c>
      <c r="AL606" s="56" t="s">
        <v>615</v>
      </c>
      <c r="AM606" s="56">
        <f>'[2]Изложницы без бурта'!K606</f>
        <v>0</v>
      </c>
    </row>
    <row r="607" spans="28:39" x14ac:dyDescent="0.25">
      <c r="AB607" s="253" t="str">
        <f t="shared" si="25"/>
        <v/>
      </c>
      <c r="AC607" s="254" t="str">
        <f>IF(COUNTIF(AD$78:AD607,AD607)=1,MAX(AC$78:AC606)+1,"")</f>
        <v/>
      </c>
      <c r="AD607" s="215">
        <f>'[2]Изложницы без бурта'!B607</f>
        <v>212.5</v>
      </c>
      <c r="AE607" s="215">
        <f>'[2]Изложницы без бурта'!C607</f>
        <v>263</v>
      </c>
      <c r="AF607" s="56">
        <f>'[2]Изложницы без бурта'!D607</f>
        <v>285</v>
      </c>
      <c r="AG607" s="56">
        <f>'[2]Изложницы без бурта'!E607</f>
        <v>320</v>
      </c>
      <c r="AH607" s="56" t="str">
        <f>'[2]Изложницы без бурта'!F607</f>
        <v>72.11870 - 30</v>
      </c>
      <c r="AI607" s="56">
        <f>'[2]Изложницы без бурта'!G607</f>
        <v>0</v>
      </c>
      <c r="AJ607" s="56">
        <f>'[2]Изложницы без бурта'!H607</f>
        <v>0</v>
      </c>
      <c r="AK607" s="56">
        <f>'[2]Изложницы без бурта'!I607</f>
        <v>0</v>
      </c>
      <c r="AL607" s="56" t="s">
        <v>615</v>
      </c>
      <c r="AM607" s="56">
        <f>'[2]Изложницы без бурта'!K607</f>
        <v>0</v>
      </c>
    </row>
    <row r="608" spans="28:39" x14ac:dyDescent="0.25">
      <c r="AB608" s="253" t="str">
        <f t="shared" si="25"/>
        <v/>
      </c>
      <c r="AC608" s="254">
        <f>IF(COUNTIF(AD$78:AD608,AD608)=1,MAX(AC$78:AC607)+1,"")</f>
        <v>51</v>
      </c>
      <c r="AD608" s="215">
        <f>'[2]Изложницы без бурта'!B608</f>
        <v>215</v>
      </c>
      <c r="AE608" s="215">
        <f>'[2]Изложницы без бурта'!C608</f>
        <v>375</v>
      </c>
      <c r="AF608" s="56">
        <f>'[2]Изложницы без бурта'!D608</f>
        <v>285</v>
      </c>
      <c r="AG608" s="56">
        <f>'[2]Изложницы без бурта'!E608</f>
        <v>320</v>
      </c>
      <c r="AH608" s="56" t="str">
        <f>'[2]Изложницы без бурта'!F608</f>
        <v>72.42461 - 31</v>
      </c>
      <c r="AI608" s="56">
        <f>'[2]Изложницы без бурта'!G608</f>
        <v>0</v>
      </c>
      <c r="AJ608" s="56">
        <f>'[2]Изложницы без бурта'!H608</f>
        <v>0</v>
      </c>
      <c r="AK608" s="56">
        <f>'[2]Изложницы без бурта'!I608</f>
        <v>0</v>
      </c>
      <c r="AL608" s="56" t="s">
        <v>616</v>
      </c>
      <c r="AM608" s="56">
        <f>'[2]Изложницы без бурта'!K608</f>
        <v>0</v>
      </c>
    </row>
    <row r="609" spans="28:39" x14ac:dyDescent="0.25">
      <c r="AB609" s="253" t="str">
        <f t="shared" si="25"/>
        <v/>
      </c>
      <c r="AC609" s="254" t="str">
        <f>IF(COUNTIF(AD$78:AD609,AD609)=1,MAX(AC$78:AC608)+1,"")</f>
        <v/>
      </c>
      <c r="AD609" s="215">
        <f>'[2]Изложницы без бурта'!B609</f>
        <v>215</v>
      </c>
      <c r="AE609" s="215">
        <f>'[2]Изложницы без бурта'!C609</f>
        <v>265</v>
      </c>
      <c r="AF609" s="56">
        <f>'[2]Изложницы без бурта'!D609</f>
        <v>285</v>
      </c>
      <c r="AG609" s="56">
        <f>'[2]Изложницы без бурта'!E609</f>
        <v>320</v>
      </c>
      <c r="AH609" s="56" t="str">
        <f>'[2]Изложницы без бурта'!F609</f>
        <v>72.11870 - 31</v>
      </c>
      <c r="AI609" s="56">
        <f>'[2]Изложницы без бурта'!G609</f>
        <v>0</v>
      </c>
      <c r="AJ609" s="56">
        <f>'[2]Изложницы без бурта'!H609</f>
        <v>0</v>
      </c>
      <c r="AK609" s="56">
        <f>'[2]Изложницы без бурта'!I609</f>
        <v>0</v>
      </c>
      <c r="AL609" s="56" t="s">
        <v>616</v>
      </c>
      <c r="AM609" s="56">
        <f>'[2]Изложницы без бурта'!K609</f>
        <v>0</v>
      </c>
    </row>
    <row r="610" spans="28:39" x14ac:dyDescent="0.25">
      <c r="AB610" s="253" t="str">
        <f t="shared" si="25"/>
        <v/>
      </c>
      <c r="AC610" s="254" t="str">
        <f>IF(COUNTIF(AD$78:AD610,AD610)=1,MAX(AC$78:AC609)+1,"")</f>
        <v/>
      </c>
      <c r="AD610" s="215">
        <f>'[2]Изложницы без бурта'!B610</f>
        <v>215</v>
      </c>
      <c r="AE610" s="215">
        <f>'[2]Изложницы без бурта'!C610</f>
        <v>265</v>
      </c>
      <c r="AF610" s="56">
        <f>'[2]Изложницы без бурта'!D610</f>
        <v>285</v>
      </c>
      <c r="AG610" s="56">
        <f>'[2]Изложницы без бурта'!E610</f>
        <v>320</v>
      </c>
      <c r="AH610" s="56" t="str">
        <f>'[2]Изложницы без бурта'!F610</f>
        <v>72.11870 - 31</v>
      </c>
      <c r="AI610" s="56">
        <f>'[2]Изложницы без бурта'!G610</f>
        <v>0</v>
      </c>
      <c r="AJ610" s="56">
        <f>'[2]Изложницы без бурта'!H610</f>
        <v>0</v>
      </c>
      <c r="AK610" s="56">
        <f>'[2]Изложницы без бурта'!I610</f>
        <v>0</v>
      </c>
      <c r="AL610" s="56" t="s">
        <v>616</v>
      </c>
      <c r="AM610" s="56">
        <f>'[2]Изложницы без бурта'!K610</f>
        <v>0</v>
      </c>
    </row>
    <row r="611" spans="28:39" x14ac:dyDescent="0.25">
      <c r="AB611" s="253" t="str">
        <f t="shared" si="25"/>
        <v/>
      </c>
      <c r="AC611" s="254" t="str">
        <f>IF(COUNTIF(AD$78:AD611,AD611)=1,MAX(AC$78:AC610)+1,"")</f>
        <v/>
      </c>
      <c r="AD611" s="215">
        <f>'[2]Изложницы без бурта'!B611</f>
        <v>215</v>
      </c>
      <c r="AE611" s="215">
        <f>'[2]Изложницы без бурта'!C611</f>
        <v>265</v>
      </c>
      <c r="AF611" s="56">
        <f>'[2]Изложницы без бурта'!D611</f>
        <v>285</v>
      </c>
      <c r="AG611" s="56">
        <f>'[2]Изложницы без бурта'!E611</f>
        <v>320</v>
      </c>
      <c r="AH611" s="56" t="str">
        <f>'[2]Изложницы без бурта'!F611</f>
        <v>72.11870 - 31</v>
      </c>
      <c r="AI611" s="56">
        <f>'[2]Изложницы без бурта'!G611</f>
        <v>0</v>
      </c>
      <c r="AJ611" s="56">
        <f>'[2]Изложницы без бурта'!H611</f>
        <v>0</v>
      </c>
      <c r="AK611" s="56">
        <f>'[2]Изложницы без бурта'!I611</f>
        <v>0</v>
      </c>
      <c r="AL611" s="56" t="s">
        <v>616</v>
      </c>
      <c r="AM611" s="56">
        <f>'[2]Изложницы без бурта'!K611</f>
        <v>0</v>
      </c>
    </row>
    <row r="612" spans="28:39" x14ac:dyDescent="0.25">
      <c r="AB612" s="253" t="str">
        <f t="shared" si="25"/>
        <v/>
      </c>
      <c r="AC612" s="254" t="str">
        <f>IF(COUNTIF(AD$78:AD612,AD612)=1,MAX(AC$78:AC611)+1,"")</f>
        <v/>
      </c>
      <c r="AD612" s="215">
        <f>'[2]Изложницы без бурта'!B612</f>
        <v>215</v>
      </c>
      <c r="AE612" s="215">
        <f>'[2]Изложницы без бурта'!C612</f>
        <v>320</v>
      </c>
      <c r="AF612" s="56">
        <f>'[2]Изложницы без бурта'!D612</f>
        <v>285</v>
      </c>
      <c r="AG612" s="56">
        <f>'[2]Изложницы без бурта'!E612</f>
        <v>320</v>
      </c>
      <c r="AH612" s="56" t="str">
        <f>'[2]Изложницы без бурта'!F612</f>
        <v>72.11871 - 31</v>
      </c>
      <c r="AI612" s="56">
        <f>'[2]Изложницы без бурта'!G612</f>
        <v>0</v>
      </c>
      <c r="AJ612" s="56">
        <f>'[2]Изложницы без бурта'!H612</f>
        <v>0</v>
      </c>
      <c r="AK612" s="56">
        <f>'[2]Изложницы без бурта'!I612</f>
        <v>0</v>
      </c>
      <c r="AL612" s="56" t="s">
        <v>616</v>
      </c>
      <c r="AM612" s="56">
        <f>'[2]Изложницы без бурта'!K612</f>
        <v>0</v>
      </c>
    </row>
    <row r="613" spans="28:39" x14ac:dyDescent="0.25">
      <c r="AB613" s="253" t="str">
        <f t="shared" si="25"/>
        <v/>
      </c>
      <c r="AC613" s="254" t="str">
        <f>IF(COUNTIF(AD$78:AD613,AD613)=1,MAX(AC$78:AC612)+1,"")</f>
        <v/>
      </c>
      <c r="AD613" s="215">
        <f>'[2]Изложницы без бурта'!B613</f>
        <v>215</v>
      </c>
      <c r="AE613" s="215">
        <f>'[2]Изложницы без бурта'!C613</f>
        <v>265</v>
      </c>
      <c r="AF613" s="56">
        <f>'[2]Изложницы без бурта'!D613</f>
        <v>285</v>
      </c>
      <c r="AG613" s="56">
        <f>'[2]Изложницы без бурта'!E613</f>
        <v>320</v>
      </c>
      <c r="AH613" s="56" t="str">
        <f>'[2]Изложницы без бурта'!F613</f>
        <v>72.11870 - 31</v>
      </c>
      <c r="AI613" s="56">
        <f>'[2]Изложницы без бурта'!G613</f>
        <v>0</v>
      </c>
      <c r="AJ613" s="56">
        <f>'[2]Изложницы без бурта'!H613</f>
        <v>0</v>
      </c>
      <c r="AK613" s="56">
        <f>'[2]Изложницы без бурта'!I613</f>
        <v>0</v>
      </c>
      <c r="AL613" s="56" t="s">
        <v>616</v>
      </c>
      <c r="AM613" s="56">
        <f>'[2]Изложницы без бурта'!K613</f>
        <v>0</v>
      </c>
    </row>
    <row r="614" spans="28:39" x14ac:dyDescent="0.25">
      <c r="AB614" s="253" t="str">
        <f t="shared" si="25"/>
        <v/>
      </c>
      <c r="AC614" s="254" t="str">
        <f>IF(COUNTIF(AD$78:AD614,AD614)=1,MAX(AC$78:AC613)+1,"")</f>
        <v/>
      </c>
      <c r="AD614" s="215">
        <f>'[2]Изложницы без бурта'!B614</f>
        <v>215</v>
      </c>
      <c r="AE614" s="215">
        <f>'[2]Изложницы без бурта'!C614</f>
        <v>377</v>
      </c>
      <c r="AF614" s="56">
        <f>'[2]Изложницы без бурта'!D614</f>
        <v>285</v>
      </c>
      <c r="AG614" s="56">
        <f>'[2]Изложницы без бурта'!E614</f>
        <v>320</v>
      </c>
      <c r="AH614" s="56" t="str">
        <f>'[2]Изложницы без бурта'!F614</f>
        <v>72.42461 - 31</v>
      </c>
      <c r="AI614" s="56">
        <f>'[2]Изложницы без бурта'!G614</f>
        <v>0</v>
      </c>
      <c r="AJ614" s="56">
        <f>'[2]Изложницы без бурта'!H614</f>
        <v>0</v>
      </c>
      <c r="AK614" s="56">
        <f>'[2]Изложницы без бурта'!I614</f>
        <v>0</v>
      </c>
      <c r="AL614" s="56" t="s">
        <v>616</v>
      </c>
      <c r="AM614" s="56">
        <f>'[2]Изложницы без бурта'!K614</f>
        <v>0</v>
      </c>
    </row>
    <row r="615" spans="28:39" x14ac:dyDescent="0.25">
      <c r="AB615" s="253" t="str">
        <f t="shared" si="25"/>
        <v/>
      </c>
      <c r="AC615" s="254" t="str">
        <f>IF(COUNTIF(AD$78:AD615,AD615)=1,MAX(AC$78:AC614)+1,"")</f>
        <v/>
      </c>
      <c r="AD615" s="215">
        <f>'[2]Изложницы без бурта'!B615</f>
        <v>215</v>
      </c>
      <c r="AE615" s="215">
        <f>'[2]Изложницы без бурта'!C615</f>
        <v>263</v>
      </c>
      <c r="AF615" s="56">
        <f>'[2]Изложницы без бурта'!D615</f>
        <v>285</v>
      </c>
      <c r="AG615" s="56">
        <f>'[2]Изложницы без бурта'!E615</f>
        <v>320</v>
      </c>
      <c r="AH615" s="56" t="str">
        <f>'[2]Изложницы без бурта'!F615</f>
        <v>72.11870 - 31</v>
      </c>
      <c r="AI615" s="56">
        <f>'[2]Изложницы без бурта'!G615</f>
        <v>0</v>
      </c>
      <c r="AJ615" s="56">
        <f>'[2]Изложницы без бурта'!H615</f>
        <v>0</v>
      </c>
      <c r="AK615" s="56">
        <f>'[2]Изложницы без бурта'!I615</f>
        <v>0</v>
      </c>
      <c r="AL615" s="56" t="s">
        <v>616</v>
      </c>
      <c r="AM615" s="56">
        <f>'[2]Изложницы без бурта'!K615</f>
        <v>0</v>
      </c>
    </row>
    <row r="616" spans="28:39" x14ac:dyDescent="0.25">
      <c r="AB616" s="253" t="str">
        <f t="shared" si="25"/>
        <v/>
      </c>
      <c r="AC616" s="254" t="str">
        <f>IF(COUNTIF(AD$78:AD616,AD616)=1,MAX(AC$78:AC615)+1,"")</f>
        <v/>
      </c>
      <c r="AD616" s="215">
        <f>'[2]Изложницы без бурта'!B616</f>
        <v>215</v>
      </c>
      <c r="AE616" s="215">
        <f>'[2]Изложницы без бурта'!C616</f>
        <v>263</v>
      </c>
      <c r="AF616" s="56">
        <f>'[2]Изложницы без бурта'!D616</f>
        <v>285</v>
      </c>
      <c r="AG616" s="56">
        <f>'[2]Изложницы без бурта'!E616</f>
        <v>320</v>
      </c>
      <c r="AH616" s="56" t="str">
        <f>'[2]Изложницы без бурта'!F616</f>
        <v>72.11870 - 31</v>
      </c>
      <c r="AI616" s="56">
        <f>'[2]Изложницы без бурта'!G616</f>
        <v>0</v>
      </c>
      <c r="AJ616" s="56">
        <f>'[2]Изложницы без бурта'!H616</f>
        <v>0</v>
      </c>
      <c r="AK616" s="56">
        <f>'[2]Изложницы без бурта'!I616</f>
        <v>0</v>
      </c>
      <c r="AL616" s="56" t="s">
        <v>616</v>
      </c>
      <c r="AM616" s="56">
        <f>'[2]Изложницы без бурта'!K616</f>
        <v>0</v>
      </c>
    </row>
    <row r="617" spans="28:39" x14ac:dyDescent="0.25">
      <c r="AB617" s="253" t="str">
        <f t="shared" si="25"/>
        <v/>
      </c>
      <c r="AC617" s="254" t="str">
        <f>IF(COUNTIF(AD$78:AD617,AD617)=1,MAX(AC$78:AC616)+1,"")</f>
        <v/>
      </c>
      <c r="AD617" s="215">
        <f>'[2]Изложницы без бурта'!B617</f>
        <v>215</v>
      </c>
      <c r="AE617" s="215">
        <f>'[2]Изложницы без бурта'!C617</f>
        <v>262</v>
      </c>
      <c r="AF617" s="56">
        <f>'[2]Изложницы без бурта'!D617</f>
        <v>285</v>
      </c>
      <c r="AG617" s="56">
        <f>'[2]Изложницы без бурта'!E617</f>
        <v>320</v>
      </c>
      <c r="AH617" s="56" t="str">
        <f>'[2]Изложницы без бурта'!F617</f>
        <v>72.11870 - 31</v>
      </c>
      <c r="AI617" s="56">
        <f>'[2]Изложницы без бурта'!G617</f>
        <v>0</v>
      </c>
      <c r="AJ617" s="56">
        <f>'[2]Изложницы без бурта'!H617</f>
        <v>0</v>
      </c>
      <c r="AK617" s="56">
        <f>'[2]Изложницы без бурта'!I617</f>
        <v>0</v>
      </c>
      <c r="AL617" s="56" t="s">
        <v>616</v>
      </c>
      <c r="AM617" s="56">
        <f>'[2]Изложницы без бурта'!K617</f>
        <v>0</v>
      </c>
    </row>
    <row r="618" spans="28:39" x14ac:dyDescent="0.25">
      <c r="AB618" s="253" t="str">
        <f t="shared" si="25"/>
        <v/>
      </c>
      <c r="AC618" s="254" t="str">
        <f>IF(COUNTIF(AD$78:AD618,AD618)=1,MAX(AC$78:AC617)+1,"")</f>
        <v/>
      </c>
      <c r="AD618" s="215">
        <f>'[2]Изложницы без бурта'!B618</f>
        <v>215</v>
      </c>
      <c r="AE618" s="215">
        <f>'[2]Изложницы без бурта'!C618</f>
        <v>375</v>
      </c>
      <c r="AF618" s="56">
        <f>'[2]Изложницы без бурта'!D618</f>
        <v>285</v>
      </c>
      <c r="AG618" s="56">
        <f>'[2]Изложницы без бурта'!E618</f>
        <v>320</v>
      </c>
      <c r="AH618" s="56" t="str">
        <f>'[2]Изложницы без бурта'!F618</f>
        <v>72.42461 - 31</v>
      </c>
      <c r="AI618" s="56">
        <f>'[2]Изложницы без бурта'!G618</f>
        <v>0</v>
      </c>
      <c r="AJ618" s="56">
        <f>'[2]Изложницы без бурта'!H618</f>
        <v>0</v>
      </c>
      <c r="AK618" s="56">
        <f>'[2]Изложницы без бурта'!I618</f>
        <v>0</v>
      </c>
      <c r="AL618" s="56" t="s">
        <v>616</v>
      </c>
      <c r="AM618" s="56">
        <f>'[2]Изложницы без бурта'!K618</f>
        <v>0</v>
      </c>
    </row>
    <row r="619" spans="28:39" x14ac:dyDescent="0.25">
      <c r="AB619" s="253" t="str">
        <f t="shared" si="25"/>
        <v/>
      </c>
      <c r="AC619" s="254" t="str">
        <f>IF(COUNTIF(AD$78:AD619,AD619)=1,MAX(AC$78:AC618)+1,"")</f>
        <v/>
      </c>
      <c r="AD619" s="215">
        <f>'[2]Изложницы без бурта'!B619</f>
        <v>215</v>
      </c>
      <c r="AE619" s="215">
        <f>'[2]Изложницы без бурта'!C619</f>
        <v>253</v>
      </c>
      <c r="AF619" s="56">
        <f>'[2]Изложницы без бурта'!D619</f>
        <v>375</v>
      </c>
      <c r="AG619" s="56">
        <f>'[2]Изложницы без бурта'!E619</f>
        <v>320</v>
      </c>
      <c r="AH619" s="56" t="str">
        <f>'[2]Изложницы без бурта'!F619</f>
        <v>72.11870 - 31</v>
      </c>
      <c r="AI619" s="56">
        <f>'[2]Изложницы без бурта'!G619</f>
        <v>7260025</v>
      </c>
      <c r="AJ619" s="56">
        <f>'[2]Изложницы без бурта'!H619</f>
        <v>0</v>
      </c>
      <c r="AK619" s="56">
        <f>'[2]Изложницы без бурта'!I619</f>
        <v>0</v>
      </c>
      <c r="AL619" s="56" t="s">
        <v>616</v>
      </c>
      <c r="AM619" s="56">
        <f>'[2]Изложницы без бурта'!K619</f>
        <v>0</v>
      </c>
    </row>
    <row r="620" spans="28:39" x14ac:dyDescent="0.25">
      <c r="AB620" s="253" t="str">
        <f t="shared" si="25"/>
        <v/>
      </c>
      <c r="AC620" s="254" t="str">
        <f>IF(COUNTIF(AD$78:AD620,AD620)=1,MAX(AC$78:AC619)+1,"")</f>
        <v/>
      </c>
      <c r="AD620" s="215">
        <f>'[2]Изложницы без бурта'!B620</f>
        <v>215</v>
      </c>
      <c r="AE620" s="215">
        <f>'[2]Изложницы без бурта'!C620</f>
        <v>377</v>
      </c>
      <c r="AF620" s="56">
        <f>'[2]Изложницы без бурта'!D620</f>
        <v>285</v>
      </c>
      <c r="AG620" s="56">
        <f>'[2]Изложницы без бурта'!E620</f>
        <v>320</v>
      </c>
      <c r="AH620" s="56" t="str">
        <f>'[2]Изложницы без бурта'!F620</f>
        <v>72.42461 - 31</v>
      </c>
      <c r="AI620" s="56">
        <f>'[2]Изложницы без бурта'!G620</f>
        <v>0</v>
      </c>
      <c r="AJ620" s="56">
        <f>'[2]Изложницы без бурта'!H620</f>
        <v>0</v>
      </c>
      <c r="AK620" s="56">
        <f>'[2]Изложницы без бурта'!I620</f>
        <v>0</v>
      </c>
      <c r="AL620" s="56" t="s">
        <v>616</v>
      </c>
      <c r="AM620" s="56">
        <f>'[2]Изложницы без бурта'!K620</f>
        <v>0</v>
      </c>
    </row>
    <row r="621" spans="28:39" x14ac:dyDescent="0.25">
      <c r="AB621" s="253" t="str">
        <f t="shared" si="25"/>
        <v/>
      </c>
      <c r="AC621" s="254" t="str">
        <f>IF(COUNTIF(AD$78:AD621,AD621)=1,MAX(AC$78:AC620)+1,"")</f>
        <v/>
      </c>
      <c r="AD621" s="215">
        <f>'[2]Изложницы без бурта'!B621</f>
        <v>215</v>
      </c>
      <c r="AE621" s="215">
        <f>'[2]Изложницы без бурта'!C621</f>
        <v>317</v>
      </c>
      <c r="AF621" s="56">
        <f>'[2]Изложницы без бурта'!D621</f>
        <v>285</v>
      </c>
      <c r="AG621" s="56">
        <f>'[2]Изложницы без бурта'!E621</f>
        <v>320</v>
      </c>
      <c r="AH621" s="56" t="str">
        <f>'[2]Изложницы без бурта'!F621</f>
        <v>72.11871 - 31</v>
      </c>
      <c r="AI621" s="56">
        <f>'[2]Изложницы без бурта'!G621</f>
        <v>0</v>
      </c>
      <c r="AJ621" s="56">
        <f>'[2]Изложницы без бурта'!H621</f>
        <v>0</v>
      </c>
      <c r="AK621" s="56">
        <f>'[2]Изложницы без бурта'!I621</f>
        <v>0</v>
      </c>
      <c r="AL621" s="56" t="s">
        <v>616</v>
      </c>
      <c r="AM621" s="56">
        <f>'[2]Изложницы без бурта'!K621</f>
        <v>0</v>
      </c>
    </row>
    <row r="622" spans="28:39" x14ac:dyDescent="0.25">
      <c r="AB622" s="253" t="str">
        <f t="shared" si="25"/>
        <v/>
      </c>
      <c r="AC622" s="254" t="str">
        <f>IF(COUNTIF(AD$78:AD622,AD622)=1,MAX(AC$78:AC621)+1,"")</f>
        <v/>
      </c>
      <c r="AD622" s="215">
        <f>'[2]Изложницы без бурта'!B622</f>
        <v>215</v>
      </c>
      <c r="AE622" s="215">
        <f>'[2]Изложницы без бурта'!C622</f>
        <v>317</v>
      </c>
      <c r="AF622" s="56">
        <f>'[2]Изложницы без бурта'!D622</f>
        <v>285</v>
      </c>
      <c r="AG622" s="56">
        <f>'[2]Изложницы без бурта'!E622</f>
        <v>320</v>
      </c>
      <c r="AH622" s="56" t="str">
        <f>'[2]Изложницы без бурта'!F622</f>
        <v>72.11871 - 31</v>
      </c>
      <c r="AI622" s="56">
        <f>'[2]Изложницы без бурта'!G622</f>
        <v>0</v>
      </c>
      <c r="AJ622" s="56">
        <f>'[2]Изложницы без бурта'!H622</f>
        <v>0</v>
      </c>
      <c r="AK622" s="56">
        <f>'[2]Изложницы без бурта'!I622</f>
        <v>0</v>
      </c>
      <c r="AL622" s="56" t="s">
        <v>616</v>
      </c>
      <c r="AM622" s="56">
        <f>'[2]Изложницы без бурта'!K622</f>
        <v>0</v>
      </c>
    </row>
    <row r="623" spans="28:39" x14ac:dyDescent="0.25">
      <c r="AB623" s="253" t="str">
        <f t="shared" si="25"/>
        <v/>
      </c>
      <c r="AC623" s="254" t="str">
        <f>IF(COUNTIF(AD$78:AD623,AD623)=1,MAX(AC$78:AC622)+1,"")</f>
        <v/>
      </c>
      <c r="AD623" s="215">
        <f>'[2]Изложницы без бурта'!B623</f>
        <v>215</v>
      </c>
      <c r="AE623" s="215">
        <f>'[2]Изложницы без бурта'!C623</f>
        <v>265</v>
      </c>
      <c r="AF623" s="56">
        <f>'[2]Изложницы без бурта'!D623</f>
        <v>285</v>
      </c>
      <c r="AG623" s="56">
        <f>'[2]Изложницы без бурта'!E623</f>
        <v>320</v>
      </c>
      <c r="AH623" s="56" t="str">
        <f>'[2]Изложницы без бурта'!F623</f>
        <v>72.11870 - 31</v>
      </c>
      <c r="AI623" s="56">
        <f>'[2]Изложницы без бурта'!G623</f>
        <v>0</v>
      </c>
      <c r="AJ623" s="56">
        <f>'[2]Изложницы без бурта'!H623</f>
        <v>0</v>
      </c>
      <c r="AK623" s="56">
        <f>'[2]Изложницы без бурта'!I623</f>
        <v>0</v>
      </c>
      <c r="AL623" s="56" t="s">
        <v>616</v>
      </c>
      <c r="AM623" s="56">
        <f>'[2]Изложницы без бурта'!K623</f>
        <v>0</v>
      </c>
    </row>
    <row r="624" spans="28:39" x14ac:dyDescent="0.25">
      <c r="AB624" s="253" t="str">
        <f t="shared" si="25"/>
        <v/>
      </c>
      <c r="AC624" s="254">
        <f>IF(COUNTIF(AD$78:AD624,AD624)=1,MAX(AC$78:AC623)+1,"")</f>
        <v>52</v>
      </c>
      <c r="AD624" s="215">
        <f>'[2]Изложницы без бурта'!B624</f>
        <v>217.5</v>
      </c>
      <c r="AE624" s="215">
        <f>'[2]Изложницы без бурта'!C624</f>
        <v>320</v>
      </c>
      <c r="AF624" s="56">
        <f>'[2]Изложницы без бурта'!D624</f>
        <v>285</v>
      </c>
      <c r="AG624" s="56">
        <f>'[2]Изложницы без бурта'!E624</f>
        <v>320</v>
      </c>
      <c r="AH624" s="56" t="str">
        <f>'[2]Изложницы без бурта'!F624</f>
        <v>72.11871 - 32</v>
      </c>
      <c r="AI624" s="56">
        <f>'[2]Изложницы без бурта'!G624</f>
        <v>0</v>
      </c>
      <c r="AJ624" s="56">
        <f>'[2]Изложницы без бурта'!H624</f>
        <v>0</v>
      </c>
      <c r="AK624" s="56">
        <f>'[2]Изложницы без бурта'!I624</f>
        <v>0</v>
      </c>
      <c r="AL624" s="56" t="s">
        <v>617</v>
      </c>
      <c r="AM624" s="56">
        <f>'[2]Изложницы без бурта'!K624</f>
        <v>0</v>
      </c>
    </row>
    <row r="625" spans="28:39" x14ac:dyDescent="0.25">
      <c r="AB625" s="253" t="str">
        <f t="shared" si="25"/>
        <v/>
      </c>
      <c r="AC625" s="254" t="str">
        <f>IF(COUNTIF(AD$78:AD625,AD625)=1,MAX(AC$78:AC624)+1,"")</f>
        <v/>
      </c>
      <c r="AD625" s="215">
        <f>'[2]Изложницы без бурта'!B625</f>
        <v>217.5</v>
      </c>
      <c r="AE625" s="215">
        <f>'[2]Изложницы без бурта'!C625</f>
        <v>320</v>
      </c>
      <c r="AF625" s="56">
        <f>'[2]Изложницы без бурта'!D625</f>
        <v>285</v>
      </c>
      <c r="AG625" s="56">
        <f>'[2]Изложницы без бурта'!E625</f>
        <v>320</v>
      </c>
      <c r="AH625" s="56" t="str">
        <f>'[2]Изложницы без бурта'!F625</f>
        <v>72.11871 - 32</v>
      </c>
      <c r="AI625" s="56">
        <f>'[2]Изложницы без бурта'!G625</f>
        <v>0</v>
      </c>
      <c r="AJ625" s="56">
        <f>'[2]Изложницы без бурта'!H625</f>
        <v>0</v>
      </c>
      <c r="AK625" s="56">
        <f>'[2]Изложницы без бурта'!I625</f>
        <v>0</v>
      </c>
      <c r="AL625" s="56" t="s">
        <v>617</v>
      </c>
      <c r="AM625" s="56">
        <f>'[2]Изложницы без бурта'!K625</f>
        <v>0</v>
      </c>
    </row>
    <row r="626" spans="28:39" x14ac:dyDescent="0.25">
      <c r="AB626" s="253" t="str">
        <f t="shared" si="25"/>
        <v/>
      </c>
      <c r="AC626" s="254" t="str">
        <f>IF(COUNTIF(AD$78:AD626,AD626)=1,MAX(AC$78:AC625)+1,"")</f>
        <v/>
      </c>
      <c r="AD626" s="215">
        <f>'[2]Изложницы без бурта'!B626</f>
        <v>217.5</v>
      </c>
      <c r="AE626" s="215">
        <f>'[2]Изложницы без бурта'!C626</f>
        <v>315</v>
      </c>
      <c r="AF626" s="56">
        <f>'[2]Изложницы без бурта'!D626</f>
        <v>285</v>
      </c>
      <c r="AG626" s="56">
        <f>'[2]Изложницы без бурта'!E626</f>
        <v>320</v>
      </c>
      <c r="AH626" s="56" t="str">
        <f>'[2]Изложницы без бурта'!F626</f>
        <v>72.11871 - 32</v>
      </c>
      <c r="AI626" s="56">
        <f>'[2]Изложницы без бурта'!G626</f>
        <v>0</v>
      </c>
      <c r="AJ626" s="56">
        <f>'[2]Изложницы без бурта'!H626</f>
        <v>0</v>
      </c>
      <c r="AK626" s="56">
        <f>'[2]Изложницы без бурта'!I626</f>
        <v>0</v>
      </c>
      <c r="AL626" s="56" t="s">
        <v>617</v>
      </c>
      <c r="AM626" s="56">
        <f>'[2]Изложницы без бурта'!K626</f>
        <v>0</v>
      </c>
    </row>
    <row r="627" spans="28:39" x14ac:dyDescent="0.25">
      <c r="AB627" s="253" t="str">
        <f t="shared" si="25"/>
        <v/>
      </c>
      <c r="AC627" s="254" t="str">
        <f>IF(COUNTIF(AD$78:AD627,AD627)=1,MAX(AC$78:AC626)+1,"")</f>
        <v/>
      </c>
      <c r="AD627" s="215">
        <f>'[2]Изложницы без бурта'!B627</f>
        <v>217.5</v>
      </c>
      <c r="AE627" s="215">
        <f>'[2]Изложницы без бурта'!C627</f>
        <v>400</v>
      </c>
      <c r="AF627" s="56">
        <f>'[2]Изложницы без бурта'!D627</f>
        <v>285</v>
      </c>
      <c r="AG627" s="56">
        <f>'[2]Изложницы без бурта'!E627</f>
        <v>320</v>
      </c>
      <c r="AH627" s="56" t="str">
        <f>'[2]Изложницы без бурта'!F627</f>
        <v>10.255223 - 8</v>
      </c>
      <c r="AI627" s="56">
        <f>'[2]Изложницы без бурта'!G627</f>
        <v>0</v>
      </c>
      <c r="AJ627" s="56">
        <f>'[2]Изложницы без бурта'!H627</f>
        <v>0</v>
      </c>
      <c r="AK627" s="56">
        <f>'[2]Изложницы без бурта'!I627</f>
        <v>0</v>
      </c>
      <c r="AL627" s="56" t="s">
        <v>617</v>
      </c>
      <c r="AM627" s="56">
        <f>'[2]Изложницы без бурта'!K627</f>
        <v>0</v>
      </c>
    </row>
    <row r="628" spans="28:39" x14ac:dyDescent="0.25">
      <c r="AB628" s="253" t="str">
        <f t="shared" si="25"/>
        <v/>
      </c>
      <c r="AC628" s="254" t="str">
        <f>IF(COUNTIF(AD$78:AD628,AD628)=1,MAX(AC$78:AC627)+1,"")</f>
        <v/>
      </c>
      <c r="AD628" s="215">
        <f>'[2]Изложницы без бурта'!B628</f>
        <v>217.5</v>
      </c>
      <c r="AE628" s="215">
        <f>'[2]Изложницы без бурта'!C628</f>
        <v>255</v>
      </c>
      <c r="AF628" s="56">
        <f>'[2]Изложницы без бурта'!D628</f>
        <v>285</v>
      </c>
      <c r="AG628" s="56">
        <f>'[2]Изложницы без бурта'!E628</f>
        <v>320</v>
      </c>
      <c r="AH628" s="56" t="str">
        <f>'[2]Изложницы без бурта'!F628</f>
        <v>72.11870 - 32</v>
      </c>
      <c r="AI628" s="56">
        <f>'[2]Изложницы без бурта'!G628</f>
        <v>0</v>
      </c>
      <c r="AJ628" s="56">
        <f>'[2]Изложницы без бурта'!H628</f>
        <v>0</v>
      </c>
      <c r="AK628" s="56">
        <f>'[2]Изложницы без бурта'!I628</f>
        <v>0</v>
      </c>
      <c r="AL628" s="56" t="s">
        <v>617</v>
      </c>
      <c r="AM628" s="56">
        <f>'[2]Изложницы без бурта'!K628</f>
        <v>0</v>
      </c>
    </row>
    <row r="629" spans="28:39" x14ac:dyDescent="0.25">
      <c r="AB629" s="253" t="str">
        <f t="shared" si="25"/>
        <v/>
      </c>
      <c r="AC629" s="254" t="str">
        <f>IF(COUNTIF(AD$78:AD629,AD629)=1,MAX(AC$78:AC628)+1,"")</f>
        <v/>
      </c>
      <c r="AD629" s="215">
        <f>'[2]Изложницы без бурта'!B629</f>
        <v>217.5</v>
      </c>
      <c r="AE629" s="215">
        <f>'[2]Изложницы без бурта'!C629</f>
        <v>400</v>
      </c>
      <c r="AF629" s="56">
        <f>'[2]Изложницы без бурта'!D629</f>
        <v>285</v>
      </c>
      <c r="AG629" s="56">
        <f>'[2]Изложницы без бурта'!E629</f>
        <v>320</v>
      </c>
      <c r="AH629" s="56" t="str">
        <f>'[2]Изложницы без бурта'!F629</f>
        <v>10.255223 - 8</v>
      </c>
      <c r="AI629" s="56">
        <f>'[2]Изложницы без бурта'!G629</f>
        <v>0</v>
      </c>
      <c r="AJ629" s="56">
        <f>'[2]Изложницы без бурта'!H629</f>
        <v>0</v>
      </c>
      <c r="AK629" s="56">
        <f>'[2]Изложницы без бурта'!I629</f>
        <v>0</v>
      </c>
      <c r="AL629" s="56" t="s">
        <v>617</v>
      </c>
      <c r="AM629" s="56">
        <f>'[2]Изложницы без бурта'!K629</f>
        <v>0</v>
      </c>
    </row>
    <row r="630" spans="28:39" x14ac:dyDescent="0.25">
      <c r="AB630" s="253" t="str">
        <f t="shared" si="25"/>
        <v/>
      </c>
      <c r="AC630" s="254" t="str">
        <f>IF(COUNTIF(AD$78:AD630,AD630)=1,MAX(AC$78:AC629)+1,"")</f>
        <v/>
      </c>
      <c r="AD630" s="215">
        <f>'[2]Изложницы без бурта'!B630</f>
        <v>217.5</v>
      </c>
      <c r="AE630" s="215">
        <f>'[2]Изложницы без бурта'!C630</f>
        <v>320</v>
      </c>
      <c r="AF630" s="56">
        <f>'[2]Изложницы без бурта'!D630</f>
        <v>285</v>
      </c>
      <c r="AG630" s="56">
        <f>'[2]Изложницы без бурта'!E630</f>
        <v>320</v>
      </c>
      <c r="AH630" s="56" t="str">
        <f>'[2]Изложницы без бурта'!F630</f>
        <v>72.11871 - 32</v>
      </c>
      <c r="AI630" s="56">
        <f>'[2]Изложницы без бурта'!G630</f>
        <v>0</v>
      </c>
      <c r="AJ630" s="56">
        <f>'[2]Изложницы без бурта'!H630</f>
        <v>0</v>
      </c>
      <c r="AK630" s="56">
        <f>'[2]Изложницы без бурта'!I630</f>
        <v>0</v>
      </c>
      <c r="AL630" s="56" t="s">
        <v>617</v>
      </c>
      <c r="AM630" s="56">
        <f>'[2]Изложницы без бурта'!K630</f>
        <v>0</v>
      </c>
    </row>
    <row r="631" spans="28:39" x14ac:dyDescent="0.25">
      <c r="AB631" s="253" t="str">
        <f t="shared" si="25"/>
        <v/>
      </c>
      <c r="AC631" s="254" t="str">
        <f>IF(COUNTIF(AD$78:AD631,AD631)=1,MAX(AC$78:AC630)+1,"")</f>
        <v/>
      </c>
      <c r="AD631" s="215">
        <f>'[2]Изложницы без бурта'!B631</f>
        <v>217.5</v>
      </c>
      <c r="AE631" s="215">
        <f>'[2]Изложницы без бурта'!C631</f>
        <v>455</v>
      </c>
      <c r="AF631" s="56">
        <f>'[2]Изложницы без бурта'!D631</f>
        <v>285</v>
      </c>
      <c r="AG631" s="56">
        <f>'[2]Изложницы без бурта'!E631</f>
        <v>320</v>
      </c>
      <c r="AH631" s="56" t="str">
        <f>'[2]Изложницы без бурта'!F631</f>
        <v>72.48007 - 01</v>
      </c>
      <c r="AI631" s="56">
        <f>'[2]Изложницы без бурта'!G631</f>
        <v>7260026</v>
      </c>
      <c r="AJ631" s="56">
        <f>'[2]Изложницы без бурта'!H631</f>
        <v>0</v>
      </c>
      <c r="AK631" s="56">
        <f>'[2]Изложницы без бурта'!I631</f>
        <v>0</v>
      </c>
      <c r="AL631" s="56" t="s">
        <v>617</v>
      </c>
      <c r="AM631" s="56">
        <f>'[2]Изложницы без бурта'!K631</f>
        <v>0</v>
      </c>
    </row>
    <row r="632" spans="28:39" x14ac:dyDescent="0.25">
      <c r="AB632" s="253" t="str">
        <f t="shared" si="25"/>
        <v/>
      </c>
      <c r="AC632" s="254" t="str">
        <f>IF(COUNTIF(AD$78:AD632,AD632)=1,MAX(AC$78:AC631)+1,"")</f>
        <v/>
      </c>
      <c r="AD632" s="215">
        <f>'[2]Изложницы без бурта'!B632</f>
        <v>217.5</v>
      </c>
      <c r="AE632" s="215">
        <f>'[2]Изложницы без бурта'!C632</f>
        <v>260</v>
      </c>
      <c r="AF632" s="56">
        <f>'[2]Изложницы без бурта'!D632</f>
        <v>285</v>
      </c>
      <c r="AG632" s="56">
        <f>'[2]Изложницы без бурта'!E632</f>
        <v>320</v>
      </c>
      <c r="AH632" s="56" t="str">
        <f>'[2]Изложницы без бурта'!F632</f>
        <v>72.11870 - 32</v>
      </c>
      <c r="AI632" s="56">
        <f>'[2]Изложницы без бурта'!G632</f>
        <v>0</v>
      </c>
      <c r="AJ632" s="56">
        <f>'[2]Изложницы без бурта'!H632</f>
        <v>0</v>
      </c>
      <c r="AK632" s="56">
        <f>'[2]Изложницы без бурта'!I632</f>
        <v>0</v>
      </c>
      <c r="AL632" s="56" t="s">
        <v>617</v>
      </c>
      <c r="AM632" s="56">
        <f>'[2]Изложницы без бурта'!K632</f>
        <v>0</v>
      </c>
    </row>
    <row r="633" spans="28:39" x14ac:dyDescent="0.25">
      <c r="AB633" s="253" t="str">
        <f t="shared" ref="AB633:AB696" si="26">IF(MAX(AC633:AC1710)&lt;ROW(555:555),"",VLOOKUP(ROW(555:555),AC633:AD1710,2))</f>
        <v/>
      </c>
      <c r="AC633" s="254">
        <f>IF(COUNTIF(AD$78:AD633,AD633)=1,MAX(AC$78:AC632)+1,"")</f>
        <v>53</v>
      </c>
      <c r="AD633" s="215">
        <f>'[2]Изложницы без бурта'!B633</f>
        <v>220</v>
      </c>
      <c r="AE633" s="215">
        <f>'[2]Изложницы без бурта'!C633</f>
        <v>265</v>
      </c>
      <c r="AF633" s="56">
        <f>'[2]Изложницы без бурта'!D633</f>
        <v>285</v>
      </c>
      <c r="AG633" s="56">
        <f>'[2]Изложницы без бурта'!E633</f>
        <v>320</v>
      </c>
      <c r="AH633" s="56" t="str">
        <f>'[2]Изложницы без бурта'!F633</f>
        <v>72.11870 - 33</v>
      </c>
      <c r="AI633" s="56">
        <f>'[2]Изложницы без бурта'!G633</f>
        <v>0</v>
      </c>
      <c r="AJ633" s="56">
        <f>'[2]Изложницы без бурта'!H633</f>
        <v>0</v>
      </c>
      <c r="AK633" s="56">
        <f>'[2]Изложницы без бурта'!I633</f>
        <v>0</v>
      </c>
      <c r="AL633" s="56" t="s">
        <v>618</v>
      </c>
      <c r="AM633" s="56">
        <f>'[2]Изложницы без бурта'!K633</f>
        <v>0</v>
      </c>
    </row>
    <row r="634" spans="28:39" x14ac:dyDescent="0.25">
      <c r="AB634" s="253" t="str">
        <f t="shared" si="26"/>
        <v/>
      </c>
      <c r="AC634" s="254" t="str">
        <f>IF(COUNTIF(AD$78:AD634,AD634)=1,MAX(AC$78:AC633)+1,"")</f>
        <v/>
      </c>
      <c r="AD634" s="215">
        <f>'[2]Изложницы без бурта'!B634</f>
        <v>220</v>
      </c>
      <c r="AE634" s="215">
        <f>'[2]Изложницы без бурта'!C634</f>
        <v>260</v>
      </c>
      <c r="AF634" s="56">
        <f>'[2]Изложницы без бурта'!D634</f>
        <v>375</v>
      </c>
      <c r="AG634" s="56">
        <f>'[2]Изложницы без бурта'!E634</f>
        <v>450</v>
      </c>
      <c r="AH634" s="56" t="str">
        <f>'[2]Изложницы без бурта'!F634</f>
        <v>72.11870 - 33</v>
      </c>
      <c r="AI634" s="56">
        <f>'[2]Изложницы без бурта'!G634</f>
        <v>0</v>
      </c>
      <c r="AJ634" s="56">
        <f>'[2]Изложницы без бурта'!H634</f>
        <v>0</v>
      </c>
      <c r="AK634" s="56">
        <f>'[2]Изложницы без бурта'!I634</f>
        <v>0</v>
      </c>
      <c r="AL634" s="56" t="s">
        <v>618</v>
      </c>
      <c r="AM634" s="56">
        <f>'[2]Изложницы без бурта'!K634</f>
        <v>0</v>
      </c>
    </row>
    <row r="635" spans="28:39" x14ac:dyDescent="0.25">
      <c r="AB635" s="253" t="str">
        <f t="shared" si="26"/>
        <v/>
      </c>
      <c r="AC635" s="254" t="str">
        <f>IF(COUNTIF(AD$78:AD635,AD635)=1,MAX(AC$78:AC634)+1,"")</f>
        <v/>
      </c>
      <c r="AD635" s="215">
        <f>'[2]Изложницы без бурта'!B635</f>
        <v>220</v>
      </c>
      <c r="AE635" s="215">
        <f>'[2]Изложницы без бурта'!C635</f>
        <v>265</v>
      </c>
      <c r="AF635" s="56">
        <f>'[2]Изложницы без бурта'!D635</f>
        <v>285</v>
      </c>
      <c r="AG635" s="56">
        <f>'[2]Изложницы без бурта'!E635</f>
        <v>320</v>
      </c>
      <c r="AH635" s="56" t="str">
        <f>'[2]Изложницы без бурта'!F635</f>
        <v>72.11870 - 33</v>
      </c>
      <c r="AI635" s="56">
        <f>'[2]Изложницы без бурта'!G635</f>
        <v>0</v>
      </c>
      <c r="AJ635" s="56">
        <f>'[2]Изложницы без бурта'!H635</f>
        <v>0</v>
      </c>
      <c r="AK635" s="56">
        <f>'[2]Изложницы без бурта'!I635</f>
        <v>0</v>
      </c>
      <c r="AL635" s="56" t="s">
        <v>618</v>
      </c>
      <c r="AM635" s="56">
        <f>'[2]Изложницы без бурта'!K635</f>
        <v>0</v>
      </c>
    </row>
    <row r="636" spans="28:39" x14ac:dyDescent="0.25">
      <c r="AB636" s="253" t="str">
        <f t="shared" si="26"/>
        <v/>
      </c>
      <c r="AC636" s="254" t="str">
        <f>IF(COUNTIF(AD$78:AD636,AD636)=1,MAX(AC$78:AC635)+1,"")</f>
        <v/>
      </c>
      <c r="AD636" s="215">
        <f>'[2]Изложницы без бурта'!B636</f>
        <v>220</v>
      </c>
      <c r="AE636" s="215">
        <f>'[2]Изложницы без бурта'!C636</f>
        <v>264</v>
      </c>
      <c r="AF636" s="56">
        <f>'[2]Изложницы без бурта'!D636</f>
        <v>285</v>
      </c>
      <c r="AG636" s="56">
        <f>'[2]Изложницы без бурта'!E636</f>
        <v>320</v>
      </c>
      <c r="AH636" s="56" t="str">
        <f>'[2]Изложницы без бурта'!F636</f>
        <v>72.11870 - 33</v>
      </c>
      <c r="AI636" s="56">
        <f>'[2]Изложницы без бурта'!G636</f>
        <v>0</v>
      </c>
      <c r="AJ636" s="56">
        <f>'[2]Изложницы без бурта'!H636</f>
        <v>0</v>
      </c>
      <c r="AK636" s="56">
        <f>'[2]Изложницы без бурта'!I636</f>
        <v>0</v>
      </c>
      <c r="AL636" s="56" t="s">
        <v>618</v>
      </c>
      <c r="AM636" s="56">
        <f>'[2]Изложницы без бурта'!K636</f>
        <v>0</v>
      </c>
    </row>
    <row r="637" spans="28:39" x14ac:dyDescent="0.25">
      <c r="AB637" s="253" t="str">
        <f t="shared" si="26"/>
        <v/>
      </c>
      <c r="AC637" s="254" t="str">
        <f>IF(COUNTIF(AD$78:AD637,AD637)=1,MAX(AC$78:AC636)+1,"")</f>
        <v/>
      </c>
      <c r="AD637" s="215">
        <f>'[2]Изложницы без бурта'!B637</f>
        <v>220</v>
      </c>
      <c r="AE637" s="215">
        <f>'[2]Изложницы без бурта'!C637</f>
        <v>265</v>
      </c>
      <c r="AF637" s="56">
        <f>'[2]Изложницы без бурта'!D637</f>
        <v>285</v>
      </c>
      <c r="AG637" s="56">
        <f>'[2]Изложницы без бурта'!E637</f>
        <v>320</v>
      </c>
      <c r="AH637" s="56" t="str">
        <f>'[2]Изложницы без бурта'!F637</f>
        <v>72.11870 - 33</v>
      </c>
      <c r="AI637" s="56">
        <f>'[2]Изложницы без бурта'!G637</f>
        <v>0</v>
      </c>
      <c r="AJ637" s="56">
        <f>'[2]Изложницы без бурта'!H637</f>
        <v>0</v>
      </c>
      <c r="AK637" s="56">
        <f>'[2]Изложницы без бурта'!I637</f>
        <v>0</v>
      </c>
      <c r="AL637" s="56" t="s">
        <v>618</v>
      </c>
      <c r="AM637" s="56">
        <f>'[2]Изложницы без бурта'!K637</f>
        <v>0</v>
      </c>
    </row>
    <row r="638" spans="28:39" x14ac:dyDescent="0.25">
      <c r="AB638" s="253" t="str">
        <f t="shared" si="26"/>
        <v/>
      </c>
      <c r="AC638" s="254" t="str">
        <f>IF(COUNTIF(AD$78:AD638,AD638)=1,MAX(AC$78:AC637)+1,"")</f>
        <v/>
      </c>
      <c r="AD638" s="215">
        <f>'[2]Изложницы без бурта'!B638</f>
        <v>220</v>
      </c>
      <c r="AE638" s="215">
        <f>'[2]Изложницы без бурта'!C638</f>
        <v>263</v>
      </c>
      <c r="AF638" s="56">
        <f>'[2]Изложницы без бурта'!D638</f>
        <v>285</v>
      </c>
      <c r="AG638" s="56">
        <f>'[2]Изложницы без бурта'!E638</f>
        <v>320</v>
      </c>
      <c r="AH638" s="56" t="str">
        <f>'[2]Изложницы без бурта'!F638</f>
        <v>72.11870 - 33</v>
      </c>
      <c r="AI638" s="56">
        <f>'[2]Изложницы без бурта'!G638</f>
        <v>0</v>
      </c>
      <c r="AJ638" s="56">
        <f>'[2]Изложницы без бурта'!H638</f>
        <v>0</v>
      </c>
      <c r="AK638" s="56">
        <f>'[2]Изложницы без бурта'!I638</f>
        <v>0</v>
      </c>
      <c r="AL638" s="56" t="s">
        <v>618</v>
      </c>
      <c r="AM638" s="56">
        <f>'[2]Изложницы без бурта'!K638</f>
        <v>0</v>
      </c>
    </row>
    <row r="639" spans="28:39" x14ac:dyDescent="0.25">
      <c r="AB639" s="253" t="str">
        <f t="shared" si="26"/>
        <v/>
      </c>
      <c r="AC639" s="254" t="str">
        <f>IF(COUNTIF(AD$78:AD639,AD639)=1,MAX(AC$78:AC638)+1,"")</f>
        <v/>
      </c>
      <c r="AD639" s="215">
        <f>'[2]Изложницы без бурта'!B639</f>
        <v>220</v>
      </c>
      <c r="AE639" s="215">
        <f>'[2]Изложницы без бурта'!C639</f>
        <v>218</v>
      </c>
      <c r="AF639" s="56">
        <f>'[2]Изложницы без бурта'!D639</f>
        <v>285</v>
      </c>
      <c r="AG639" s="56">
        <f>'[2]Изложницы без бурта'!E639</f>
        <v>320</v>
      </c>
      <c r="AH639" s="56" t="str">
        <f>'[2]Изложницы без бурта'!F639</f>
        <v>10.247619 - 4</v>
      </c>
      <c r="AI639" s="56">
        <f>'[2]Изложницы без бурта'!G639</f>
        <v>7260027</v>
      </c>
      <c r="AJ639" s="56">
        <f>'[2]Изложницы без бурта'!H639</f>
        <v>0</v>
      </c>
      <c r="AK639" s="56">
        <f>'[2]Изложницы без бурта'!I639</f>
        <v>0</v>
      </c>
      <c r="AL639" s="56" t="s">
        <v>618</v>
      </c>
      <c r="AM639" s="56">
        <f>'[2]Изложницы без бурта'!K639</f>
        <v>0</v>
      </c>
    </row>
    <row r="640" spans="28:39" x14ac:dyDescent="0.25">
      <c r="AB640" s="253" t="str">
        <f t="shared" si="26"/>
        <v/>
      </c>
      <c r="AC640" s="254" t="str">
        <f>IF(COUNTIF(AD$78:AD640,AD640)=1,MAX(AC$78:AC639)+1,"")</f>
        <v/>
      </c>
      <c r="AD640" s="215">
        <f>'[2]Изложницы без бурта'!B640</f>
        <v>220</v>
      </c>
      <c r="AE640" s="215">
        <f>'[2]Изложницы без бурта'!C640</f>
        <v>317</v>
      </c>
      <c r="AF640" s="56">
        <f>'[2]Изложницы без бурта'!D640</f>
        <v>375</v>
      </c>
      <c r="AG640" s="56">
        <f>'[2]Изложницы без бурта'!E640</f>
        <v>450</v>
      </c>
      <c r="AH640" s="56" t="str">
        <f>'[2]Изложницы без бурта'!F640</f>
        <v>72.11871 - 33</v>
      </c>
      <c r="AI640" s="56">
        <f>'[2]Изложницы без бурта'!G640</f>
        <v>0</v>
      </c>
      <c r="AJ640" s="56">
        <f>'[2]Изложницы без бурта'!H640</f>
        <v>0</v>
      </c>
      <c r="AK640" s="56">
        <f>'[2]Изложницы без бурта'!I640</f>
        <v>0</v>
      </c>
      <c r="AL640" s="56" t="s">
        <v>618</v>
      </c>
      <c r="AM640" s="56">
        <f>'[2]Изложницы без бурта'!K640</f>
        <v>0</v>
      </c>
    </row>
    <row r="641" spans="28:39" x14ac:dyDescent="0.25">
      <c r="AB641" s="253" t="str">
        <f t="shared" si="26"/>
        <v/>
      </c>
      <c r="AC641" s="254" t="str">
        <f>IF(COUNTIF(AD$78:AD641,AD641)=1,MAX(AC$78:AC640)+1,"")</f>
        <v/>
      </c>
      <c r="AD641" s="215">
        <f>'[2]Изложницы без бурта'!B641</f>
        <v>220</v>
      </c>
      <c r="AE641" s="215">
        <f>'[2]Изложницы без бурта'!C641</f>
        <v>263</v>
      </c>
      <c r="AF641" s="56">
        <f>'[2]Изложницы без бурта'!D641</f>
        <v>285</v>
      </c>
      <c r="AG641" s="56">
        <f>'[2]Изложницы без бурта'!E641</f>
        <v>320</v>
      </c>
      <c r="AH641" s="56" t="str">
        <f>'[2]Изложницы без бурта'!F641</f>
        <v>72.11870 - 33</v>
      </c>
      <c r="AI641" s="56">
        <f>'[2]Изложницы без бурта'!G641</f>
        <v>0</v>
      </c>
      <c r="AJ641" s="56">
        <f>'[2]Изложницы без бурта'!H641</f>
        <v>0</v>
      </c>
      <c r="AK641" s="56">
        <f>'[2]Изложницы без бурта'!I641</f>
        <v>0</v>
      </c>
      <c r="AL641" s="56" t="s">
        <v>618</v>
      </c>
      <c r="AM641" s="56">
        <f>'[2]Изложницы без бурта'!K641</f>
        <v>0</v>
      </c>
    </row>
    <row r="642" spans="28:39" x14ac:dyDescent="0.25">
      <c r="AB642" s="253" t="str">
        <f t="shared" si="26"/>
        <v/>
      </c>
      <c r="AC642" s="254" t="str">
        <f>IF(COUNTIF(AD$78:AD642,AD642)=1,MAX(AC$78:AC641)+1,"")</f>
        <v/>
      </c>
      <c r="AD642" s="215">
        <f>'[2]Изложницы без бурта'!B642</f>
        <v>220</v>
      </c>
      <c r="AE642" s="215">
        <f>'[2]Изложницы без бурта'!C642</f>
        <v>505</v>
      </c>
      <c r="AF642" s="56">
        <f>'[2]Изложницы без бурта'!D642</f>
        <v>285</v>
      </c>
      <c r="AG642" s="56">
        <f>'[2]Изложницы без бурта'!E642</f>
        <v>320</v>
      </c>
      <c r="AH642" s="56" t="str">
        <f>'[2]Изложницы без бурта'!F642</f>
        <v>72.23398 - 1</v>
      </c>
      <c r="AI642" s="56">
        <f>'[2]Изложницы без бурта'!G642</f>
        <v>7260028</v>
      </c>
      <c r="AJ642" s="56">
        <f>'[2]Изложницы без бурта'!H642</f>
        <v>0</v>
      </c>
      <c r="AK642" s="56">
        <f>'[2]Изложницы без бурта'!I642</f>
        <v>0</v>
      </c>
      <c r="AL642" s="56" t="s">
        <v>618</v>
      </c>
      <c r="AM642" s="56">
        <f>'[2]Изложницы без бурта'!K642</f>
        <v>0</v>
      </c>
    </row>
    <row r="643" spans="28:39" x14ac:dyDescent="0.25">
      <c r="AB643" s="253" t="str">
        <f t="shared" si="26"/>
        <v/>
      </c>
      <c r="AC643" s="254" t="str">
        <f>IF(COUNTIF(AD$78:AD643,AD643)=1,MAX(AC$78:AC642)+1,"")</f>
        <v/>
      </c>
      <c r="AD643" s="215">
        <f>'[2]Изложницы без бурта'!B643</f>
        <v>220</v>
      </c>
      <c r="AE643" s="215">
        <f>'[2]Изложницы без бурта'!C643</f>
        <v>380</v>
      </c>
      <c r="AF643" s="56">
        <f>'[2]Изложницы без бурта'!D643</f>
        <v>360</v>
      </c>
      <c r="AG643" s="56">
        <f>'[2]Изложницы без бурта'!E643</f>
        <v>450</v>
      </c>
      <c r="AH643" s="56" t="str">
        <f>'[2]Изложницы без бурта'!F643</f>
        <v>72.42461 - 33</v>
      </c>
      <c r="AI643" s="56">
        <f>'[2]Изложницы без бурта'!G643</f>
        <v>7260029</v>
      </c>
      <c r="AJ643" s="56">
        <f>'[2]Изложницы без бурта'!H643</f>
        <v>0</v>
      </c>
      <c r="AK643" s="56">
        <f>'[2]Изложницы без бурта'!I643</f>
        <v>0</v>
      </c>
      <c r="AL643" s="56" t="s">
        <v>618</v>
      </c>
      <c r="AM643" s="56">
        <f>'[2]Изложницы без бурта'!K643</f>
        <v>0</v>
      </c>
    </row>
    <row r="644" spans="28:39" x14ac:dyDescent="0.25">
      <c r="AB644" s="253" t="str">
        <f t="shared" si="26"/>
        <v/>
      </c>
      <c r="AC644" s="254" t="str">
        <f>IF(COUNTIF(AD$78:AD644,AD644)=1,MAX(AC$78:AC643)+1,"")</f>
        <v/>
      </c>
      <c r="AD644" s="215">
        <f>'[2]Изложницы без бурта'!B644</f>
        <v>220</v>
      </c>
      <c r="AE644" s="215">
        <f>'[2]Изложницы без бурта'!C644</f>
        <v>377</v>
      </c>
      <c r="AF644" s="56">
        <f>'[2]Изложницы без бурта'!D644</f>
        <v>360</v>
      </c>
      <c r="AG644" s="56">
        <f>'[2]Изложницы без бурта'!E644</f>
        <v>450</v>
      </c>
      <c r="AH644" s="56" t="str">
        <f>'[2]Изложницы без бурта'!F644</f>
        <v>72.42461 - 33</v>
      </c>
      <c r="AI644" s="56">
        <f>'[2]Изложницы без бурта'!G644</f>
        <v>7260029</v>
      </c>
      <c r="AJ644" s="56">
        <f>'[2]Изложницы без бурта'!H644</f>
        <v>0</v>
      </c>
      <c r="AK644" s="56">
        <f>'[2]Изложницы без бурта'!I644</f>
        <v>0</v>
      </c>
      <c r="AL644" s="56" t="s">
        <v>618</v>
      </c>
      <c r="AM644" s="56">
        <f>'[2]Изложницы без бурта'!K644</f>
        <v>0</v>
      </c>
    </row>
    <row r="645" spans="28:39" x14ac:dyDescent="0.25">
      <c r="AB645" s="253" t="str">
        <f t="shared" si="26"/>
        <v/>
      </c>
      <c r="AC645" s="254" t="str">
        <f>IF(COUNTIF(AD$78:AD645,AD645)=1,MAX(AC$78:AC644)+1,"")</f>
        <v/>
      </c>
      <c r="AD645" s="215">
        <f>'[2]Изложницы без бурта'!B645</f>
        <v>220</v>
      </c>
      <c r="AE645" s="215">
        <f>'[2]Изложницы без бурта'!C645</f>
        <v>320</v>
      </c>
      <c r="AF645" s="56">
        <f>'[2]Изложницы без бурта'!D645</f>
        <v>285</v>
      </c>
      <c r="AG645" s="56">
        <f>'[2]Изложницы без бурта'!E645</f>
        <v>320</v>
      </c>
      <c r="AH645" s="56" t="str">
        <f>'[2]Изложницы без бурта'!F645</f>
        <v>72.11871 - 33</v>
      </c>
      <c r="AI645" s="56">
        <f>'[2]Изложницы без бурта'!G645</f>
        <v>0</v>
      </c>
      <c r="AJ645" s="56">
        <f>'[2]Изложницы без бурта'!H645</f>
        <v>0</v>
      </c>
      <c r="AK645" s="56">
        <f>'[2]Изложницы без бурта'!I645</f>
        <v>0</v>
      </c>
      <c r="AL645" s="56" t="s">
        <v>618</v>
      </c>
      <c r="AM645" s="56">
        <f>'[2]Изложницы без бурта'!K645</f>
        <v>0</v>
      </c>
    </row>
    <row r="646" spans="28:39" x14ac:dyDescent="0.25">
      <c r="AB646" s="253" t="str">
        <f t="shared" si="26"/>
        <v/>
      </c>
      <c r="AC646" s="254" t="str">
        <f>IF(COUNTIF(AD$78:AD646,AD646)=1,MAX(AC$78:AC645)+1,"")</f>
        <v/>
      </c>
      <c r="AD646" s="215">
        <f>'[2]Изложницы без бурта'!B646</f>
        <v>220</v>
      </c>
      <c r="AE646" s="215">
        <f>'[2]Изложницы без бурта'!C646</f>
        <v>320</v>
      </c>
      <c r="AF646" s="56">
        <f>'[2]Изложницы без бурта'!D646</f>
        <v>360</v>
      </c>
      <c r="AG646" s="56">
        <f>'[2]Изложницы без бурта'!E646</f>
        <v>450</v>
      </c>
      <c r="AH646" s="56" t="str">
        <f>'[2]Изложницы без бурта'!F646</f>
        <v>72.11871 - 33</v>
      </c>
      <c r="AI646" s="56">
        <f>'[2]Изложницы без бурта'!G646</f>
        <v>0</v>
      </c>
      <c r="AJ646" s="56">
        <f>'[2]Изложницы без бурта'!H646</f>
        <v>0</v>
      </c>
      <c r="AK646" s="56">
        <f>'[2]Изложницы без бурта'!I646</f>
        <v>0</v>
      </c>
      <c r="AL646" s="56" t="s">
        <v>618</v>
      </c>
      <c r="AM646" s="56">
        <f>'[2]Изложницы без бурта'!K646</f>
        <v>0</v>
      </c>
    </row>
    <row r="647" spans="28:39" x14ac:dyDescent="0.25">
      <c r="AB647" s="253" t="str">
        <f t="shared" si="26"/>
        <v/>
      </c>
      <c r="AC647" s="254" t="str">
        <f>IF(COUNTIF(AD$78:AD647,AD647)=1,MAX(AC$78:AC646)+1,"")</f>
        <v/>
      </c>
      <c r="AD647" s="215">
        <f>'[2]Изложницы без бурта'!B647</f>
        <v>220</v>
      </c>
      <c r="AE647" s="215">
        <f>'[2]Изложницы без бурта'!C647</f>
        <v>380</v>
      </c>
      <c r="AF647" s="56">
        <f>'[2]Изложницы без бурта'!D647</f>
        <v>360</v>
      </c>
      <c r="AG647" s="56">
        <f>'[2]Изложницы без бурта'!E647</f>
        <v>450</v>
      </c>
      <c r="AH647" s="56" t="str">
        <f>'[2]Изложницы без бурта'!F647</f>
        <v>72.42461 - 33</v>
      </c>
      <c r="AI647" s="56">
        <f>'[2]Изложницы без бурта'!G647</f>
        <v>7260029</v>
      </c>
      <c r="AJ647" s="56">
        <f>'[2]Изложницы без бурта'!H647</f>
        <v>0</v>
      </c>
      <c r="AK647" s="56">
        <f>'[2]Изложницы без бурта'!I647</f>
        <v>0</v>
      </c>
      <c r="AL647" s="56" t="s">
        <v>618</v>
      </c>
      <c r="AM647" s="56">
        <f>'[2]Изложницы без бурта'!K647</f>
        <v>0</v>
      </c>
    </row>
    <row r="648" spans="28:39" x14ac:dyDescent="0.25">
      <c r="AB648" s="253" t="str">
        <f t="shared" si="26"/>
        <v/>
      </c>
      <c r="AC648" s="254">
        <f>IF(COUNTIF(AD$78:AD648,AD648)=1,MAX(AC$78:AC647)+1,"")</f>
        <v>54</v>
      </c>
      <c r="AD648" s="215">
        <f>'[2]Изложницы без бурта'!B648</f>
        <v>222.5</v>
      </c>
      <c r="AE648" s="215">
        <f>'[2]Изложницы без бурта'!C648</f>
        <v>255</v>
      </c>
      <c r="AF648" s="56">
        <f>'[2]Изложницы без бурта'!D648</f>
        <v>360</v>
      </c>
      <c r="AG648" s="56">
        <f>'[2]Изложницы без бурта'!E648</f>
        <v>450</v>
      </c>
      <c r="AH648" s="56" t="str">
        <f>'[2]Изложницы без бурта'!F648</f>
        <v>72.11872 - 1</v>
      </c>
      <c r="AI648" s="56">
        <f>'[2]Изложницы без бурта'!G648</f>
        <v>0</v>
      </c>
      <c r="AJ648" s="56">
        <f>'[2]Изложницы без бурта'!H648</f>
        <v>0</v>
      </c>
      <c r="AK648" s="56">
        <f>'[2]Изложницы без бурта'!I648</f>
        <v>0</v>
      </c>
      <c r="AL648" s="56" t="s">
        <v>619</v>
      </c>
      <c r="AM648" s="56">
        <f>'[2]Изложницы без бурта'!K648</f>
        <v>0</v>
      </c>
    </row>
    <row r="649" spans="28:39" x14ac:dyDescent="0.25">
      <c r="AB649" s="253" t="str">
        <f t="shared" si="26"/>
        <v/>
      </c>
      <c r="AC649" s="254" t="str">
        <f>IF(COUNTIF(AD$78:AD649,AD649)=1,MAX(AC$78:AC648)+1,"")</f>
        <v/>
      </c>
      <c r="AD649" s="215">
        <f>'[2]Изложницы без бурта'!B649</f>
        <v>222.5</v>
      </c>
      <c r="AE649" s="215">
        <f>'[2]Изложницы без бурта'!C649</f>
        <v>260</v>
      </c>
      <c r="AF649" s="56">
        <f>'[2]Изложницы без бурта'!D649</f>
        <v>375</v>
      </c>
      <c r="AG649" s="56">
        <f>'[2]Изложницы без бурта'!E649</f>
        <v>450</v>
      </c>
      <c r="AH649" s="56" t="str">
        <f>'[2]Изложницы без бурта'!F649</f>
        <v>72.11872 - 1</v>
      </c>
      <c r="AI649" s="56">
        <f>'[2]Изложницы без бурта'!G649</f>
        <v>0</v>
      </c>
      <c r="AJ649" s="56">
        <f>'[2]Изложницы без бурта'!H649</f>
        <v>0</v>
      </c>
      <c r="AK649" s="56">
        <f>'[2]Изложницы без бурта'!I649</f>
        <v>0</v>
      </c>
      <c r="AL649" s="56" t="s">
        <v>619</v>
      </c>
      <c r="AM649" s="56">
        <f>'[2]Изложницы без бурта'!K649</f>
        <v>0</v>
      </c>
    </row>
    <row r="650" spans="28:39" x14ac:dyDescent="0.25">
      <c r="AB650" s="253" t="str">
        <f t="shared" si="26"/>
        <v/>
      </c>
      <c r="AC650" s="254" t="str">
        <f>IF(COUNTIF(AD$78:AD650,AD650)=1,MAX(AC$78:AC649)+1,"")</f>
        <v/>
      </c>
      <c r="AD650" s="215">
        <f>'[2]Изложницы без бурта'!B650</f>
        <v>222.5</v>
      </c>
      <c r="AE650" s="215">
        <f>'[2]Изложницы без бурта'!C650</f>
        <v>260</v>
      </c>
      <c r="AF650" s="56">
        <f>'[2]Изложницы без бурта'!D650</f>
        <v>360</v>
      </c>
      <c r="AG650" s="56">
        <f>'[2]Изложницы без бурта'!E650</f>
        <v>450</v>
      </c>
      <c r="AH650" s="56" t="str">
        <f>'[2]Изложницы без бурта'!F650</f>
        <v>72.11872 - 1</v>
      </c>
      <c r="AI650" s="56">
        <f>'[2]Изложницы без бурта'!G650</f>
        <v>0</v>
      </c>
      <c r="AJ650" s="56">
        <f>'[2]Изложницы без бурта'!H650</f>
        <v>0</v>
      </c>
      <c r="AK650" s="56">
        <f>'[2]Изложницы без бурта'!I650</f>
        <v>0</v>
      </c>
      <c r="AL650" s="56" t="s">
        <v>619</v>
      </c>
      <c r="AM650" s="56">
        <f>'[2]Изложницы без бурта'!K650</f>
        <v>0</v>
      </c>
    </row>
    <row r="651" spans="28:39" x14ac:dyDescent="0.25">
      <c r="AB651" s="253" t="str">
        <f t="shared" si="26"/>
        <v/>
      </c>
      <c r="AC651" s="254" t="str">
        <f>IF(COUNTIF(AD$78:AD651,AD651)=1,MAX(AC$78:AC650)+1,"")</f>
        <v/>
      </c>
      <c r="AD651" s="215">
        <f>'[2]Изложницы без бурта'!B651</f>
        <v>222.5</v>
      </c>
      <c r="AE651" s="215">
        <f>'[2]Изложницы без бурта'!C651</f>
        <v>260</v>
      </c>
      <c r="AF651" s="56">
        <f>'[2]Изложницы без бурта'!D651</f>
        <v>375</v>
      </c>
      <c r="AG651" s="56">
        <f>'[2]Изложницы без бурта'!E651</f>
        <v>450</v>
      </c>
      <c r="AH651" s="56" t="str">
        <f>'[2]Изложницы без бурта'!F651</f>
        <v>72.11872 - 1</v>
      </c>
      <c r="AI651" s="56">
        <f>'[2]Изложницы без бурта'!G651</f>
        <v>0</v>
      </c>
      <c r="AJ651" s="56">
        <f>'[2]Изложницы без бурта'!H651</f>
        <v>0</v>
      </c>
      <c r="AK651" s="56">
        <f>'[2]Изложницы без бурта'!I651</f>
        <v>0</v>
      </c>
      <c r="AL651" s="56" t="s">
        <v>619</v>
      </c>
      <c r="AM651" s="56">
        <f>'[2]Изложницы без бурта'!K651</f>
        <v>0</v>
      </c>
    </row>
    <row r="652" spans="28:39" x14ac:dyDescent="0.25">
      <c r="AB652" s="253" t="str">
        <f t="shared" si="26"/>
        <v/>
      </c>
      <c r="AC652" s="254" t="str">
        <f>IF(COUNTIF(AD$78:AD652,AD652)=1,MAX(AC$78:AC651)+1,"")</f>
        <v/>
      </c>
      <c r="AD652" s="215">
        <f>'[2]Изложницы без бурта'!B652</f>
        <v>222.5</v>
      </c>
      <c r="AE652" s="215">
        <f>'[2]Изложницы без бурта'!C652</f>
        <v>320</v>
      </c>
      <c r="AF652" s="56">
        <f>'[2]Изложницы без бурта'!D652</f>
        <v>360</v>
      </c>
      <c r="AG652" s="56">
        <f>'[2]Изложницы без бурта'!E652</f>
        <v>450</v>
      </c>
      <c r="AH652" s="56" t="str">
        <f>'[2]Изложницы без бурта'!F652</f>
        <v>72.11873 - 1</v>
      </c>
      <c r="AI652" s="56">
        <f>'[2]Изложницы без бурта'!G652</f>
        <v>0</v>
      </c>
      <c r="AJ652" s="56">
        <f>'[2]Изложницы без бурта'!H652</f>
        <v>0</v>
      </c>
      <c r="AK652" s="56">
        <f>'[2]Изложницы без бурта'!I652</f>
        <v>0</v>
      </c>
      <c r="AL652" s="56" t="s">
        <v>619</v>
      </c>
      <c r="AM652" s="56">
        <f>'[2]Изложницы без бурта'!K652</f>
        <v>0</v>
      </c>
    </row>
    <row r="653" spans="28:39" x14ac:dyDescent="0.25">
      <c r="AB653" s="253" t="str">
        <f t="shared" si="26"/>
        <v/>
      </c>
      <c r="AC653" s="254" t="str">
        <f>IF(COUNTIF(AD$78:AD653,AD653)=1,MAX(AC$78:AC652)+1,"")</f>
        <v/>
      </c>
      <c r="AD653" s="215">
        <f>'[2]Изложницы без бурта'!B653</f>
        <v>222.5</v>
      </c>
      <c r="AE653" s="215">
        <f>'[2]Изложницы без бурта'!C653</f>
        <v>497</v>
      </c>
      <c r="AF653" s="56">
        <f>'[2]Изложницы без бурта'!D653</f>
        <v>360</v>
      </c>
      <c r="AG653" s="56">
        <f>'[2]Изложницы без бурта'!E653</f>
        <v>400</v>
      </c>
      <c r="AH653" s="56" t="str">
        <f>'[2]Изложницы без бурта'!F653</f>
        <v>72.23398 - 1</v>
      </c>
      <c r="AI653" s="56">
        <f>'[2]Изложницы без бурта'!G653</f>
        <v>0</v>
      </c>
      <c r="AJ653" s="56">
        <f>'[2]Изложницы без бурта'!H653</f>
        <v>0</v>
      </c>
      <c r="AK653" s="56">
        <f>'[2]Изложницы без бурта'!I653</f>
        <v>0</v>
      </c>
      <c r="AL653" s="56" t="s">
        <v>619</v>
      </c>
      <c r="AM653" s="56">
        <f>'[2]Изложницы без бурта'!K653</f>
        <v>0</v>
      </c>
    </row>
    <row r="654" spans="28:39" x14ac:dyDescent="0.25">
      <c r="AB654" s="253" t="str">
        <f t="shared" si="26"/>
        <v/>
      </c>
      <c r="AC654" s="254" t="str">
        <f>IF(COUNTIF(AD$78:AD654,AD654)=1,MAX(AC$78:AC653)+1,"")</f>
        <v/>
      </c>
      <c r="AD654" s="215">
        <f>'[2]Изложницы без бурта'!B654</f>
        <v>222.5</v>
      </c>
      <c r="AE654" s="215">
        <f>'[2]Изложницы без бурта'!C654</f>
        <v>497</v>
      </c>
      <c r="AF654" s="56">
        <f>'[2]Изложницы без бурта'!D654</f>
        <v>360</v>
      </c>
      <c r="AG654" s="56">
        <f>'[2]Изложницы без бурта'!E654</f>
        <v>400</v>
      </c>
      <c r="AH654" s="56" t="str">
        <f>'[2]Изложницы без бурта'!F654</f>
        <v>72.23398 - 1</v>
      </c>
      <c r="AI654" s="56">
        <f>'[2]Изложницы без бурта'!G654</f>
        <v>0</v>
      </c>
      <c r="AJ654" s="56">
        <f>'[2]Изложницы без бурта'!H654</f>
        <v>0</v>
      </c>
      <c r="AK654" s="56">
        <f>'[2]Изложницы без бурта'!I654</f>
        <v>0</v>
      </c>
      <c r="AL654" s="56" t="s">
        <v>619</v>
      </c>
      <c r="AM654" s="56">
        <f>'[2]Изложницы без бурта'!K654</f>
        <v>0</v>
      </c>
    </row>
    <row r="655" spans="28:39" x14ac:dyDescent="0.25">
      <c r="AB655" s="253" t="str">
        <f t="shared" si="26"/>
        <v/>
      </c>
      <c r="AC655" s="254" t="str">
        <f>IF(COUNTIF(AD$78:AD655,AD655)=1,MAX(AC$78:AC654)+1,"")</f>
        <v/>
      </c>
      <c r="AD655" s="215">
        <f>'[2]Изложницы без бурта'!B655</f>
        <v>222.5</v>
      </c>
      <c r="AE655" s="215">
        <f>'[2]Изложницы без бурта'!C655</f>
        <v>257</v>
      </c>
      <c r="AF655" s="56">
        <f>'[2]Изложницы без бурта'!D655</f>
        <v>360</v>
      </c>
      <c r="AG655" s="56">
        <f>'[2]Изложницы без бурта'!E655</f>
        <v>450</v>
      </c>
      <c r="AH655" s="56" t="str">
        <f>'[2]Изложницы без бурта'!F655</f>
        <v>72.11872 - 1</v>
      </c>
      <c r="AI655" s="56">
        <f>'[2]Изложницы без бурта'!G655</f>
        <v>0</v>
      </c>
      <c r="AJ655" s="56">
        <f>'[2]Изложницы без бурта'!H655</f>
        <v>0</v>
      </c>
      <c r="AK655" s="56">
        <f>'[2]Изложницы без бурта'!I655</f>
        <v>0</v>
      </c>
      <c r="AL655" s="56" t="s">
        <v>619</v>
      </c>
      <c r="AM655" s="56">
        <f>'[2]Изложницы без бурта'!K655</f>
        <v>0</v>
      </c>
    </row>
    <row r="656" spans="28:39" x14ac:dyDescent="0.25">
      <c r="AB656" s="253" t="str">
        <f t="shared" si="26"/>
        <v/>
      </c>
      <c r="AC656" s="254">
        <f>IF(COUNTIF(AD$78:AD656,AD656)=1,MAX(AC$78:AC655)+1,"")</f>
        <v>55</v>
      </c>
      <c r="AD656" s="215">
        <f>'[2]Изложницы без бурта'!B656</f>
        <v>225</v>
      </c>
      <c r="AE656" s="215">
        <f>'[2]Изложницы без бурта'!C656</f>
        <v>497</v>
      </c>
      <c r="AF656" s="56">
        <f>'[2]Изложницы без бурта'!D656</f>
        <v>360</v>
      </c>
      <c r="AG656" s="56">
        <f>'[2]Изложницы без бурта'!E656</f>
        <v>400</v>
      </c>
      <c r="AH656" s="56" t="str">
        <f>'[2]Изложницы без бурта'!F656</f>
        <v>72.23398 - 2</v>
      </c>
      <c r="AI656" s="56">
        <f>'[2]Изложницы без бурта'!G656</f>
        <v>0</v>
      </c>
      <c r="AJ656" s="56">
        <f>'[2]Изложницы без бурта'!H656</f>
        <v>0</v>
      </c>
      <c r="AK656" s="56">
        <f>'[2]Изложницы без бурта'!I656</f>
        <v>0</v>
      </c>
      <c r="AL656" s="56" t="s">
        <v>620</v>
      </c>
      <c r="AM656" s="56">
        <f>'[2]Изложницы без бурта'!K656</f>
        <v>0</v>
      </c>
    </row>
    <row r="657" spans="28:39" x14ac:dyDescent="0.25">
      <c r="AB657" s="253" t="str">
        <f t="shared" si="26"/>
        <v/>
      </c>
      <c r="AC657" s="254" t="str">
        <f>IF(COUNTIF(AD$78:AD657,AD657)=1,MAX(AC$78:AC656)+1,"")</f>
        <v/>
      </c>
      <c r="AD657" s="215">
        <f>'[2]Изложницы без бурта'!B657</f>
        <v>225</v>
      </c>
      <c r="AE657" s="215">
        <f>'[2]Изложницы без бурта'!C657</f>
        <v>258</v>
      </c>
      <c r="AF657" s="56">
        <f>'[2]Изложницы без бурта'!D657</f>
        <v>360</v>
      </c>
      <c r="AG657" s="56">
        <f>'[2]Изложницы без бурта'!E657</f>
        <v>450</v>
      </c>
      <c r="AH657" s="56" t="str">
        <f>'[2]Изложницы без бурта'!F657</f>
        <v>72.11872 - 2</v>
      </c>
      <c r="AI657" s="56">
        <f>'[2]Изложницы без бурта'!G657</f>
        <v>0</v>
      </c>
      <c r="AJ657" s="56">
        <f>'[2]Изложницы без бурта'!H657</f>
        <v>0</v>
      </c>
      <c r="AK657" s="56">
        <f>'[2]Изложницы без бурта'!I657</f>
        <v>0</v>
      </c>
      <c r="AL657" s="56" t="s">
        <v>620</v>
      </c>
      <c r="AM657" s="56">
        <f>'[2]Изложницы без бурта'!K657</f>
        <v>0</v>
      </c>
    </row>
    <row r="658" spans="28:39" x14ac:dyDescent="0.25">
      <c r="AB658" s="253" t="str">
        <f t="shared" si="26"/>
        <v/>
      </c>
      <c r="AC658" s="254" t="str">
        <f>IF(COUNTIF(AD$78:AD658,AD658)=1,MAX(AC$78:AC657)+1,"")</f>
        <v/>
      </c>
      <c r="AD658" s="215">
        <f>'[2]Изложницы без бурта'!B658</f>
        <v>225</v>
      </c>
      <c r="AE658" s="215">
        <f>'[2]Изложницы без бурта'!C658</f>
        <v>317</v>
      </c>
      <c r="AF658" s="56">
        <f>'[2]Изложницы без бурта'!D658</f>
        <v>375</v>
      </c>
      <c r="AG658" s="56">
        <f>'[2]Изложницы без бурта'!E658</f>
        <v>450</v>
      </c>
      <c r="AH658" s="56" t="str">
        <f>'[2]Изложницы без бурта'!F658</f>
        <v>72.11873 - 2</v>
      </c>
      <c r="AI658" s="56">
        <f>'[2]Изложницы без бурта'!G658</f>
        <v>0</v>
      </c>
      <c r="AJ658" s="56">
        <f>'[2]Изложницы без бурта'!H658</f>
        <v>0</v>
      </c>
      <c r="AK658" s="56">
        <f>'[2]Изложницы без бурта'!I658</f>
        <v>0</v>
      </c>
      <c r="AL658" s="56" t="s">
        <v>620</v>
      </c>
      <c r="AM658" s="56">
        <f>'[2]Изложницы без бурта'!K658</f>
        <v>0</v>
      </c>
    </row>
    <row r="659" spans="28:39" x14ac:dyDescent="0.25">
      <c r="AB659" s="253" t="str">
        <f t="shared" si="26"/>
        <v/>
      </c>
      <c r="AC659" s="254" t="str">
        <f>IF(COUNTIF(AD$78:AD659,AD659)=1,MAX(AC$78:AC658)+1,"")</f>
        <v/>
      </c>
      <c r="AD659" s="215">
        <f>'[2]Изложницы без бурта'!B659</f>
        <v>225</v>
      </c>
      <c r="AE659" s="215">
        <f>'[2]Изложницы без бурта'!C659</f>
        <v>320</v>
      </c>
      <c r="AF659" s="56">
        <f>'[2]Изложницы без бурта'!D659</f>
        <v>360</v>
      </c>
      <c r="AG659" s="56">
        <f>'[2]Изложницы без бурта'!E659</f>
        <v>450</v>
      </c>
      <c r="AH659" s="56" t="str">
        <f>'[2]Изложницы без бурта'!F659</f>
        <v>72.11873 - 2</v>
      </c>
      <c r="AI659" s="56">
        <f>'[2]Изложницы без бурта'!G659</f>
        <v>0</v>
      </c>
      <c r="AJ659" s="56">
        <f>'[2]Изложницы без бурта'!H659</f>
        <v>0</v>
      </c>
      <c r="AK659" s="56">
        <f>'[2]Изложницы без бурта'!I659</f>
        <v>0</v>
      </c>
      <c r="AL659" s="56" t="s">
        <v>620</v>
      </c>
      <c r="AM659" s="56">
        <f>'[2]Изложницы без бурта'!K659</f>
        <v>0</v>
      </c>
    </row>
    <row r="660" spans="28:39" x14ac:dyDescent="0.25">
      <c r="AB660" s="253" t="str">
        <f t="shared" si="26"/>
        <v/>
      </c>
      <c r="AC660" s="254" t="str">
        <f>IF(COUNTIF(AD$78:AD660,AD660)=1,MAX(AC$78:AC659)+1,"")</f>
        <v/>
      </c>
      <c r="AD660" s="215">
        <f>'[2]Изложницы без бурта'!B660</f>
        <v>225</v>
      </c>
      <c r="AE660" s="215">
        <f>'[2]Изложницы без бурта'!C660</f>
        <v>380</v>
      </c>
      <c r="AF660" s="56">
        <f>'[2]Изложницы без бурта'!D660</f>
        <v>360</v>
      </c>
      <c r="AG660" s="56">
        <f>'[2]Изложницы без бурта'!E660</f>
        <v>450</v>
      </c>
      <c r="AH660" s="56" t="str">
        <f>'[2]Изложницы без бурта'!F660</f>
        <v>72.11874 - 2</v>
      </c>
      <c r="AI660" s="56">
        <f>'[2]Изложницы без бурта'!G660</f>
        <v>7260030</v>
      </c>
      <c r="AJ660" s="56">
        <f>'[2]Изложницы без бурта'!H660</f>
        <v>0</v>
      </c>
      <c r="AK660" s="56">
        <f>'[2]Изложницы без бурта'!I660</f>
        <v>0</v>
      </c>
      <c r="AL660" s="56" t="s">
        <v>620</v>
      </c>
      <c r="AM660" s="56">
        <f>'[2]Изложницы без бурта'!K660</f>
        <v>0</v>
      </c>
    </row>
    <row r="661" spans="28:39" x14ac:dyDescent="0.25">
      <c r="AB661" s="253" t="str">
        <f t="shared" si="26"/>
        <v/>
      </c>
      <c r="AC661" s="254">
        <f>IF(COUNTIF(AD$78:AD661,AD661)=1,MAX(AC$78:AC660)+1,"")</f>
        <v>56</v>
      </c>
      <c r="AD661" s="215">
        <f>'[2]Изложницы без бурта'!B661</f>
        <v>227.5</v>
      </c>
      <c r="AE661" s="215">
        <f>'[2]Изложницы без бурта'!C661</f>
        <v>312</v>
      </c>
      <c r="AF661" s="56">
        <f>'[2]Изложницы без бурта'!D661</f>
        <v>375</v>
      </c>
      <c r="AG661" s="56">
        <f>'[2]Изложницы без бурта'!E661</f>
        <v>450</v>
      </c>
      <c r="AH661" s="56" t="str">
        <f>'[2]Изложницы без бурта'!F661</f>
        <v>72.11873 - 3</v>
      </c>
      <c r="AI661" s="56">
        <f>'[2]Изложницы без бурта'!G661</f>
        <v>0</v>
      </c>
      <c r="AJ661" s="56">
        <f>'[2]Изложницы без бурта'!H661</f>
        <v>0</v>
      </c>
      <c r="AK661" s="56">
        <f>'[2]Изложницы без бурта'!I661</f>
        <v>0</v>
      </c>
      <c r="AL661" s="56" t="s">
        <v>621</v>
      </c>
      <c r="AM661" s="56">
        <f>'[2]Изложницы без бурта'!K661</f>
        <v>0</v>
      </c>
    </row>
    <row r="662" spans="28:39" x14ac:dyDescent="0.25">
      <c r="AB662" s="253" t="str">
        <f t="shared" si="26"/>
        <v/>
      </c>
      <c r="AC662" s="254" t="str">
        <f>IF(COUNTIF(AD$78:AD662,AD662)=1,MAX(AC$78:AC661)+1,"")</f>
        <v/>
      </c>
      <c r="AD662" s="215">
        <f>'[2]Изложницы без бурта'!B662</f>
        <v>227.5</v>
      </c>
      <c r="AE662" s="215">
        <f>'[2]Изложницы без бурта'!C662</f>
        <v>320</v>
      </c>
      <c r="AF662" s="56">
        <f>'[2]Изложницы без бурта'!D662</f>
        <v>360</v>
      </c>
      <c r="AG662" s="56">
        <f>'[2]Изложницы без бурта'!E662</f>
        <v>450</v>
      </c>
      <c r="AH662" s="56" t="str">
        <f>'[2]Изложницы без бурта'!F662</f>
        <v>72.11873 - 3</v>
      </c>
      <c r="AI662" s="56">
        <f>'[2]Изложницы без бурта'!G662</f>
        <v>0</v>
      </c>
      <c r="AJ662" s="56">
        <f>'[2]Изложницы без бурта'!H662</f>
        <v>0</v>
      </c>
      <c r="AK662" s="56">
        <f>'[2]Изложницы без бурта'!I662</f>
        <v>0</v>
      </c>
      <c r="AL662" s="56" t="s">
        <v>621</v>
      </c>
      <c r="AM662" s="56">
        <f>'[2]Изложницы без бурта'!K662</f>
        <v>0</v>
      </c>
    </row>
    <row r="663" spans="28:39" x14ac:dyDescent="0.25">
      <c r="AB663" s="253" t="str">
        <f t="shared" si="26"/>
        <v/>
      </c>
      <c r="AC663" s="254" t="str">
        <f>IF(COUNTIF(AD$78:AD663,AD663)=1,MAX(AC$78:AC662)+1,"")</f>
        <v/>
      </c>
      <c r="AD663" s="215">
        <f>'[2]Изложницы без бурта'!B663</f>
        <v>227.5</v>
      </c>
      <c r="AE663" s="215">
        <f>'[2]Изложницы без бурта'!C663</f>
        <v>317</v>
      </c>
      <c r="AF663" s="56">
        <f>'[2]Изложницы без бурта'!D663</f>
        <v>360</v>
      </c>
      <c r="AG663" s="56">
        <f>'[2]Изложницы без бурта'!E663</f>
        <v>450</v>
      </c>
      <c r="AH663" s="56" t="str">
        <f>'[2]Изложницы без бурта'!F663</f>
        <v>72.11873 - 3</v>
      </c>
      <c r="AI663" s="56">
        <f>'[2]Изложницы без бурта'!G663</f>
        <v>0</v>
      </c>
      <c r="AJ663" s="56">
        <f>'[2]Изложницы без бурта'!H663</f>
        <v>0</v>
      </c>
      <c r="AK663" s="56">
        <f>'[2]Изложницы без бурта'!I663</f>
        <v>0</v>
      </c>
      <c r="AL663" s="56" t="s">
        <v>621</v>
      </c>
      <c r="AM663" s="56">
        <f>'[2]Изложницы без бурта'!K663</f>
        <v>0</v>
      </c>
    </row>
    <row r="664" spans="28:39" x14ac:dyDescent="0.25">
      <c r="AB664" s="253" t="str">
        <f t="shared" si="26"/>
        <v/>
      </c>
      <c r="AC664" s="254" t="str">
        <f>IF(COUNTIF(AD$78:AD664,AD664)=1,MAX(AC$78:AC663)+1,"")</f>
        <v/>
      </c>
      <c r="AD664" s="215">
        <f>'[2]Изложницы без бурта'!B664</f>
        <v>227.5</v>
      </c>
      <c r="AE664" s="215">
        <f>'[2]Изложницы без бурта'!C664</f>
        <v>318</v>
      </c>
      <c r="AF664" s="56">
        <f>'[2]Изложницы без бурта'!D664</f>
        <v>360</v>
      </c>
      <c r="AG664" s="56">
        <f>'[2]Изложницы без бурта'!E664</f>
        <v>450</v>
      </c>
      <c r="AH664" s="56" t="str">
        <f>'[2]Изложницы без бурта'!F664</f>
        <v>72.11873 - 3</v>
      </c>
      <c r="AI664" s="56">
        <f>'[2]Изложницы без бурта'!G664</f>
        <v>0</v>
      </c>
      <c r="AJ664" s="56">
        <f>'[2]Изложницы без бурта'!H664</f>
        <v>0</v>
      </c>
      <c r="AK664" s="56">
        <f>'[2]Изложницы без бурта'!I664</f>
        <v>0</v>
      </c>
      <c r="AL664" s="56" t="s">
        <v>621</v>
      </c>
      <c r="AM664" s="56">
        <f>'[2]Изложницы без бурта'!K664</f>
        <v>0</v>
      </c>
    </row>
    <row r="665" spans="28:39" x14ac:dyDescent="0.25">
      <c r="AB665" s="253" t="str">
        <f t="shared" si="26"/>
        <v/>
      </c>
      <c r="AC665" s="254" t="str">
        <f>IF(COUNTIF(AD$78:AD665,AD665)=1,MAX(AC$78:AC664)+1,"")</f>
        <v/>
      </c>
      <c r="AD665" s="215">
        <f>'[2]Изложницы без бурта'!B665</f>
        <v>227.5</v>
      </c>
      <c r="AE665" s="215">
        <f>'[2]Изложницы без бурта'!C665</f>
        <v>260</v>
      </c>
      <c r="AF665" s="56">
        <f>'[2]Изложницы без бурта'!D665</f>
        <v>360</v>
      </c>
      <c r="AG665" s="56">
        <f>'[2]Изложницы без бурта'!E665</f>
        <v>450</v>
      </c>
      <c r="AH665" s="56" t="str">
        <f>'[2]Изложницы без бурта'!F665</f>
        <v>72.11872 - 3</v>
      </c>
      <c r="AI665" s="56">
        <f>'[2]Изложницы без бурта'!G665</f>
        <v>0</v>
      </c>
      <c r="AJ665" s="56">
        <f>'[2]Изложницы без бурта'!H665</f>
        <v>0</v>
      </c>
      <c r="AK665" s="56">
        <f>'[2]Изложницы без бурта'!I665</f>
        <v>0</v>
      </c>
      <c r="AL665" s="56" t="s">
        <v>621</v>
      </c>
      <c r="AM665" s="56">
        <f>'[2]Изложницы без бурта'!K665</f>
        <v>0</v>
      </c>
    </row>
    <row r="666" spans="28:39" x14ac:dyDescent="0.25">
      <c r="AB666" s="253" t="str">
        <f t="shared" si="26"/>
        <v/>
      </c>
      <c r="AC666" s="254" t="str">
        <f>IF(COUNTIF(AD$78:AD666,AD666)=1,MAX(AC$78:AC665)+1,"")</f>
        <v/>
      </c>
      <c r="AD666" s="215">
        <f>'[2]Изложницы без бурта'!B666</f>
        <v>227.5</v>
      </c>
      <c r="AE666" s="215">
        <f>'[2]Изложницы без бурта'!C666</f>
        <v>320</v>
      </c>
      <c r="AF666" s="56">
        <f>'[2]Изложницы без бурта'!D666</f>
        <v>360</v>
      </c>
      <c r="AG666" s="56">
        <f>'[2]Изложницы без бурта'!E666</f>
        <v>450</v>
      </c>
      <c r="AH666" s="56" t="str">
        <f>'[2]Изложницы без бурта'!F666</f>
        <v>72.11873 - 3</v>
      </c>
      <c r="AI666" s="56">
        <f>'[2]Изложницы без бурта'!G666</f>
        <v>0</v>
      </c>
      <c r="AJ666" s="56">
        <f>'[2]Изложницы без бурта'!H666</f>
        <v>0</v>
      </c>
      <c r="AK666" s="56">
        <f>'[2]Изложницы без бурта'!I666</f>
        <v>0</v>
      </c>
      <c r="AL666" s="56" t="s">
        <v>621</v>
      </c>
      <c r="AM666" s="56">
        <f>'[2]Изложницы без бурта'!K666</f>
        <v>0</v>
      </c>
    </row>
    <row r="667" spans="28:39" x14ac:dyDescent="0.25">
      <c r="AB667" s="253" t="str">
        <f t="shared" si="26"/>
        <v/>
      </c>
      <c r="AC667" s="254" t="str">
        <f>IF(COUNTIF(AD$78:AD667,AD667)=1,MAX(AC$78:AC666)+1,"")</f>
        <v/>
      </c>
      <c r="AD667" s="215">
        <f>'[2]Изложницы без бурта'!B667</f>
        <v>227.5</v>
      </c>
      <c r="AE667" s="215">
        <f>'[2]Изложницы без бурта'!C667</f>
        <v>500</v>
      </c>
      <c r="AF667" s="56">
        <f>'[2]Изложницы без бурта'!D667</f>
        <v>360</v>
      </c>
      <c r="AG667" s="56">
        <f>'[2]Изложницы без бурта'!E667</f>
        <v>400</v>
      </c>
      <c r="AH667" s="56" t="str">
        <f>'[2]Изложницы без бурта'!F667</f>
        <v>72.23398 - 3</v>
      </c>
      <c r="AI667" s="56">
        <f>'[2]Изложницы без бурта'!G667</f>
        <v>0</v>
      </c>
      <c r="AJ667" s="56">
        <f>'[2]Изложницы без бурта'!H667</f>
        <v>0</v>
      </c>
      <c r="AK667" s="56">
        <f>'[2]Изложницы без бурта'!I667</f>
        <v>0</v>
      </c>
      <c r="AL667" s="56" t="s">
        <v>621</v>
      </c>
      <c r="AM667" s="56">
        <f>'[2]Изложницы без бурта'!K667</f>
        <v>0</v>
      </c>
    </row>
    <row r="668" spans="28:39" x14ac:dyDescent="0.25">
      <c r="AB668" s="253" t="str">
        <f t="shared" si="26"/>
        <v/>
      </c>
      <c r="AC668" s="254" t="str">
        <f>IF(COUNTIF(AD$78:AD668,AD668)=1,MAX(AC$78:AC667)+1,"")</f>
        <v/>
      </c>
      <c r="AD668" s="215">
        <f>'[2]Изложницы без бурта'!B668</f>
        <v>227.5</v>
      </c>
      <c r="AE668" s="215">
        <f>'[2]Изложницы без бурта'!C668</f>
        <v>498</v>
      </c>
      <c r="AF668" s="56">
        <f>'[2]Изложницы без бурта'!D668</f>
        <v>360</v>
      </c>
      <c r="AG668" s="56">
        <f>'[2]Изложницы без бурта'!E668</f>
        <v>400</v>
      </c>
      <c r="AH668" s="56" t="str">
        <f>'[2]Изложницы без бурта'!F668</f>
        <v>72.23398 - 3</v>
      </c>
      <c r="AI668" s="56">
        <f>'[2]Изложницы без бурта'!G668</f>
        <v>0</v>
      </c>
      <c r="AJ668" s="56">
        <f>'[2]Изложницы без бурта'!H668</f>
        <v>0</v>
      </c>
      <c r="AK668" s="56">
        <f>'[2]Изложницы без бурта'!I668</f>
        <v>0</v>
      </c>
      <c r="AL668" s="56" t="s">
        <v>621</v>
      </c>
      <c r="AM668" s="56">
        <f>'[2]Изложницы без бурта'!K668</f>
        <v>0</v>
      </c>
    </row>
    <row r="669" spans="28:39" x14ac:dyDescent="0.25">
      <c r="AB669" s="253" t="str">
        <f t="shared" si="26"/>
        <v/>
      </c>
      <c r="AC669" s="254">
        <f>IF(COUNTIF(AD$78:AD669,AD669)=1,MAX(AC$78:AC668)+1,"")</f>
        <v>57</v>
      </c>
      <c r="AD669" s="215">
        <f>'[2]Изложницы без бурта'!B669</f>
        <v>230</v>
      </c>
      <c r="AE669" s="215">
        <f>'[2]Изложницы без бурта'!C669</f>
        <v>260</v>
      </c>
      <c r="AF669" s="56">
        <f>'[2]Изложницы без бурта'!D669</f>
        <v>375</v>
      </c>
      <c r="AG669" s="56">
        <f>'[2]Изложницы без бурта'!E669</f>
        <v>450</v>
      </c>
      <c r="AH669" s="56" t="str">
        <f>'[2]Изложницы без бурта'!F669</f>
        <v>72.11872 - 4</v>
      </c>
      <c r="AI669" s="56">
        <f>'[2]Изложницы без бурта'!G669</f>
        <v>0</v>
      </c>
      <c r="AJ669" s="56">
        <f>'[2]Изложницы без бурта'!H669</f>
        <v>0</v>
      </c>
      <c r="AK669" s="56">
        <f>'[2]Изложницы без бурта'!I669</f>
        <v>0</v>
      </c>
      <c r="AL669" s="56" t="s">
        <v>622</v>
      </c>
      <c r="AM669" s="56">
        <f>'[2]Изложницы без бурта'!K669</f>
        <v>0</v>
      </c>
    </row>
    <row r="670" spans="28:39" x14ac:dyDescent="0.25">
      <c r="AB670" s="253" t="str">
        <f t="shared" si="26"/>
        <v/>
      </c>
      <c r="AC670" s="254" t="str">
        <f>IF(COUNTIF(AD$78:AD670,AD670)=1,MAX(AC$78:AC669)+1,"")</f>
        <v/>
      </c>
      <c r="AD670" s="215">
        <f>'[2]Изложницы без бурта'!B670</f>
        <v>230</v>
      </c>
      <c r="AE670" s="215">
        <f>'[2]Изложницы без бурта'!C670</f>
        <v>260</v>
      </c>
      <c r="AF670" s="56">
        <f>'[2]Изложницы без бурта'!D670</f>
        <v>375</v>
      </c>
      <c r="AG670" s="56">
        <f>'[2]Изложницы без бурта'!E670</f>
        <v>450</v>
      </c>
      <c r="AH670" s="56" t="str">
        <f>'[2]Изложницы без бурта'!F670</f>
        <v>72.11872 - 4</v>
      </c>
      <c r="AI670" s="56">
        <f>'[2]Изложницы без бурта'!G670</f>
        <v>0</v>
      </c>
      <c r="AJ670" s="56">
        <f>'[2]Изложницы без бурта'!H670</f>
        <v>0</v>
      </c>
      <c r="AK670" s="56">
        <f>'[2]Изложницы без бурта'!I670</f>
        <v>0</v>
      </c>
      <c r="AL670" s="56" t="s">
        <v>622</v>
      </c>
      <c r="AM670" s="56">
        <f>'[2]Изложницы без бурта'!K670</f>
        <v>0</v>
      </c>
    </row>
    <row r="671" spans="28:39" x14ac:dyDescent="0.25">
      <c r="AB671" s="253" t="str">
        <f t="shared" si="26"/>
        <v/>
      </c>
      <c r="AC671" s="254" t="str">
        <f>IF(COUNTIF(AD$78:AD671,AD671)=1,MAX(AC$78:AC670)+1,"")</f>
        <v/>
      </c>
      <c r="AD671" s="215">
        <f>'[2]Изложницы без бурта'!B671</f>
        <v>230</v>
      </c>
      <c r="AE671" s="215">
        <f>'[2]Изложницы без бурта'!C671</f>
        <v>318</v>
      </c>
      <c r="AF671" s="56">
        <f>'[2]Изложницы без бурта'!D671</f>
        <v>360</v>
      </c>
      <c r="AG671" s="56">
        <f>'[2]Изложницы без бурта'!E671</f>
        <v>450</v>
      </c>
      <c r="AH671" s="56" t="str">
        <f>'[2]Изложницы без бурта'!F671</f>
        <v>72.11873 - 4</v>
      </c>
      <c r="AI671" s="56">
        <f>'[2]Изложницы без бурта'!G671</f>
        <v>0</v>
      </c>
      <c r="AJ671" s="56">
        <f>'[2]Изложницы без бурта'!H671</f>
        <v>0</v>
      </c>
      <c r="AK671" s="56">
        <f>'[2]Изложницы без бурта'!I671</f>
        <v>0</v>
      </c>
      <c r="AL671" s="56" t="s">
        <v>622</v>
      </c>
      <c r="AM671" s="56">
        <f>'[2]Изложницы без бурта'!K671</f>
        <v>0</v>
      </c>
    </row>
    <row r="672" spans="28:39" x14ac:dyDescent="0.25">
      <c r="AB672" s="253" t="str">
        <f t="shared" si="26"/>
        <v/>
      </c>
      <c r="AC672" s="254" t="str">
        <f>IF(COUNTIF(AD$78:AD672,AD672)=1,MAX(AC$78:AC671)+1,"")</f>
        <v/>
      </c>
      <c r="AD672" s="215">
        <f>'[2]Изложницы без бурта'!B672</f>
        <v>230</v>
      </c>
      <c r="AE672" s="215">
        <f>'[2]Изложницы без бурта'!C672</f>
        <v>380</v>
      </c>
      <c r="AF672" s="56">
        <f>'[2]Изложницы без бурта'!D672</f>
        <v>360</v>
      </c>
      <c r="AG672" s="56">
        <f>'[2]Изложницы без бурта'!E672</f>
        <v>450</v>
      </c>
      <c r="AH672" s="56" t="str">
        <f>'[2]Изложницы без бурта'!F672</f>
        <v>72.11874 - 4</v>
      </c>
      <c r="AI672" s="56">
        <f>'[2]Изложницы без бурта'!G672</f>
        <v>0</v>
      </c>
      <c r="AJ672" s="56">
        <f>'[2]Изложницы без бурта'!H672</f>
        <v>0</v>
      </c>
      <c r="AK672" s="56">
        <f>'[2]Изложницы без бурта'!I672</f>
        <v>0</v>
      </c>
      <c r="AL672" s="56" t="s">
        <v>622</v>
      </c>
      <c r="AM672" s="56">
        <f>'[2]Изложницы без бурта'!K672</f>
        <v>0</v>
      </c>
    </row>
    <row r="673" spans="28:39" x14ac:dyDescent="0.25">
      <c r="AB673" s="253" t="str">
        <f t="shared" si="26"/>
        <v/>
      </c>
      <c r="AC673" s="254" t="str">
        <f>IF(COUNTIF(AD$78:AD673,AD673)=1,MAX(AC$78:AC672)+1,"")</f>
        <v/>
      </c>
      <c r="AD673" s="215">
        <f>'[2]Изложницы без бурта'!B673</f>
        <v>230</v>
      </c>
      <c r="AE673" s="215">
        <f>'[2]Изложницы без бурта'!C673</f>
        <v>318</v>
      </c>
      <c r="AF673" s="56">
        <f>'[2]Изложницы без бурта'!D673</f>
        <v>360</v>
      </c>
      <c r="AG673" s="56">
        <f>'[2]Изложницы без бурта'!E673</f>
        <v>450</v>
      </c>
      <c r="AH673" s="56" t="str">
        <f>'[2]Изложницы без бурта'!F673</f>
        <v>72.11873 - 4</v>
      </c>
      <c r="AI673" s="56">
        <f>'[2]Изложницы без бурта'!G673</f>
        <v>0</v>
      </c>
      <c r="AJ673" s="56">
        <f>'[2]Изложницы без бурта'!H673</f>
        <v>0</v>
      </c>
      <c r="AK673" s="56">
        <f>'[2]Изложницы без бурта'!I673</f>
        <v>0</v>
      </c>
      <c r="AL673" s="56" t="s">
        <v>622</v>
      </c>
      <c r="AM673" s="56">
        <f>'[2]Изложницы без бурта'!K673</f>
        <v>0</v>
      </c>
    </row>
    <row r="674" spans="28:39" x14ac:dyDescent="0.25">
      <c r="AB674" s="253" t="str">
        <f t="shared" si="26"/>
        <v/>
      </c>
      <c r="AC674" s="254" t="str">
        <f>IF(COUNTIF(AD$78:AD674,AD674)=1,MAX(AC$78:AC673)+1,"")</f>
        <v/>
      </c>
      <c r="AD674" s="215">
        <f>'[2]Изложницы без бурта'!B674</f>
        <v>230</v>
      </c>
      <c r="AE674" s="215">
        <f>'[2]Изложницы без бурта'!C674</f>
        <v>380</v>
      </c>
      <c r="AF674" s="56">
        <f>'[2]Изложницы без бурта'!D674</f>
        <v>360</v>
      </c>
      <c r="AG674" s="56">
        <f>'[2]Изложницы без бурта'!E674</f>
        <v>450</v>
      </c>
      <c r="AH674" s="56" t="str">
        <f>'[2]Изложницы без бурта'!F674</f>
        <v>72.11874 - 4</v>
      </c>
      <c r="AI674" s="56">
        <f>'[2]Изложницы без бурта'!G674</f>
        <v>0</v>
      </c>
      <c r="AJ674" s="56">
        <f>'[2]Изложницы без бурта'!H674</f>
        <v>0</v>
      </c>
      <c r="AK674" s="56">
        <f>'[2]Изложницы без бурта'!I674</f>
        <v>0</v>
      </c>
      <c r="AL674" s="56" t="s">
        <v>622</v>
      </c>
      <c r="AM674" s="56">
        <f>'[2]Изложницы без бурта'!K674</f>
        <v>0</v>
      </c>
    </row>
    <row r="675" spans="28:39" x14ac:dyDescent="0.25">
      <c r="AB675" s="253" t="str">
        <f t="shared" si="26"/>
        <v/>
      </c>
      <c r="AC675" s="254" t="str">
        <f>IF(COUNTIF(AD$78:AD675,AD675)=1,MAX(AC$78:AC674)+1,"")</f>
        <v/>
      </c>
      <c r="AD675" s="215">
        <f>'[2]Изложницы без бурта'!B675</f>
        <v>230</v>
      </c>
      <c r="AE675" s="215">
        <f>'[2]Изложницы без бурта'!C675</f>
        <v>260</v>
      </c>
      <c r="AF675" s="56">
        <f>'[2]Изложницы без бурта'!D675</f>
        <v>360</v>
      </c>
      <c r="AG675" s="56">
        <f>'[2]Изложницы без бурта'!E675</f>
        <v>450</v>
      </c>
      <c r="AH675" s="56" t="str">
        <f>'[2]Изложницы без бурта'!F675</f>
        <v>72.11872 - 4</v>
      </c>
      <c r="AI675" s="56">
        <f>'[2]Изложницы без бурта'!G675</f>
        <v>0</v>
      </c>
      <c r="AJ675" s="56">
        <f>'[2]Изложницы без бурта'!H675</f>
        <v>0</v>
      </c>
      <c r="AK675" s="56">
        <f>'[2]Изложницы без бурта'!I675</f>
        <v>0</v>
      </c>
      <c r="AL675" s="56" t="s">
        <v>622</v>
      </c>
      <c r="AM675" s="56">
        <f>'[2]Изложницы без бурта'!K675</f>
        <v>0</v>
      </c>
    </row>
    <row r="676" spans="28:39" x14ac:dyDescent="0.25">
      <c r="AB676" s="253" t="str">
        <f t="shared" si="26"/>
        <v/>
      </c>
      <c r="AC676" s="254" t="str">
        <f>IF(COUNTIF(AD$78:AD676,AD676)=1,MAX(AC$78:AC675)+1,"")</f>
        <v/>
      </c>
      <c r="AD676" s="215">
        <f>'[2]Изложницы без бурта'!B676</f>
        <v>230</v>
      </c>
      <c r="AE676" s="215">
        <f>'[2]Изложницы без бурта'!C676</f>
        <v>260</v>
      </c>
      <c r="AF676" s="56">
        <f>'[2]Изложницы без бурта'!D676</f>
        <v>360</v>
      </c>
      <c r="AG676" s="56">
        <f>'[2]Изложницы без бурта'!E676</f>
        <v>450</v>
      </c>
      <c r="AH676" s="56" t="str">
        <f>'[2]Изложницы без бурта'!F676</f>
        <v>72.11872 - 4</v>
      </c>
      <c r="AI676" s="56">
        <f>'[2]Изложницы без бурта'!G676</f>
        <v>0</v>
      </c>
      <c r="AJ676" s="56">
        <f>'[2]Изложницы без бурта'!H676</f>
        <v>0</v>
      </c>
      <c r="AK676" s="56">
        <f>'[2]Изложницы без бурта'!I676</f>
        <v>0</v>
      </c>
      <c r="AL676" s="56" t="s">
        <v>622</v>
      </c>
      <c r="AM676" s="56">
        <f>'[2]Изложницы без бурта'!K676</f>
        <v>0</v>
      </c>
    </row>
    <row r="677" spans="28:39" x14ac:dyDescent="0.25">
      <c r="AB677" s="253" t="str">
        <f t="shared" si="26"/>
        <v/>
      </c>
      <c r="AC677" s="254" t="str">
        <f>IF(COUNTIF(AD$78:AD677,AD677)=1,MAX(AC$78:AC676)+1,"")</f>
        <v/>
      </c>
      <c r="AD677" s="215">
        <f>'[2]Изложницы без бурта'!B677</f>
        <v>230</v>
      </c>
      <c r="AE677" s="215">
        <f>'[2]Изложницы без бурта'!C677</f>
        <v>260</v>
      </c>
      <c r="AF677" s="56">
        <f>'[2]Изложницы без бурта'!D677</f>
        <v>375</v>
      </c>
      <c r="AG677" s="56">
        <f>'[2]Изложницы без бурта'!E677</f>
        <v>450</v>
      </c>
      <c r="AH677" s="56" t="str">
        <f>'[2]Изложницы без бурта'!F677</f>
        <v>72.11872 - 4</v>
      </c>
      <c r="AI677" s="56">
        <f>'[2]Изложницы без бурта'!G677</f>
        <v>0</v>
      </c>
      <c r="AJ677" s="56">
        <f>'[2]Изложницы без бурта'!H677</f>
        <v>0</v>
      </c>
      <c r="AK677" s="56">
        <f>'[2]Изложницы без бурта'!I677</f>
        <v>0</v>
      </c>
      <c r="AL677" s="56" t="s">
        <v>622</v>
      </c>
      <c r="AM677" s="56">
        <f>'[2]Изложницы без бурта'!K677</f>
        <v>0</v>
      </c>
    </row>
    <row r="678" spans="28:39" x14ac:dyDescent="0.25">
      <c r="AB678" s="253" t="str">
        <f t="shared" si="26"/>
        <v/>
      </c>
      <c r="AC678" s="254" t="str">
        <f>IF(COUNTIF(AD$78:AD678,AD678)=1,MAX(AC$78:AC677)+1,"")</f>
        <v/>
      </c>
      <c r="AD678" s="215">
        <f>'[2]Изложницы без бурта'!B678</f>
        <v>230</v>
      </c>
      <c r="AE678" s="215">
        <f>'[2]Изложницы без бурта'!C678</f>
        <v>380</v>
      </c>
      <c r="AF678" s="56">
        <f>'[2]Изложницы без бурта'!D678</f>
        <v>360</v>
      </c>
      <c r="AG678" s="56">
        <f>'[2]Изложницы без бурта'!E678</f>
        <v>450</v>
      </c>
      <c r="AH678" s="56" t="str">
        <f>'[2]Изложницы без бурта'!F678</f>
        <v>72.11874 - 4</v>
      </c>
      <c r="AI678" s="56">
        <f>'[2]Изложницы без бурта'!G678</f>
        <v>0</v>
      </c>
      <c r="AJ678" s="56">
        <f>'[2]Изложницы без бурта'!H678</f>
        <v>0</v>
      </c>
      <c r="AK678" s="56">
        <f>'[2]Изложницы без бурта'!I678</f>
        <v>0</v>
      </c>
      <c r="AL678" s="56" t="s">
        <v>622</v>
      </c>
      <c r="AM678" s="56">
        <f>'[2]Изложницы без бурта'!K678</f>
        <v>0</v>
      </c>
    </row>
    <row r="679" spans="28:39" x14ac:dyDescent="0.25">
      <c r="AB679" s="253" t="str">
        <f t="shared" si="26"/>
        <v/>
      </c>
      <c r="AC679" s="254">
        <f>IF(COUNTIF(AD$78:AD679,AD679)=1,MAX(AC$78:AC678)+1,"")</f>
        <v>58</v>
      </c>
      <c r="AD679" s="215">
        <f>'[2]Изложницы без бурта'!B679</f>
        <v>232.5</v>
      </c>
      <c r="AE679" s="215">
        <f>'[2]Изложницы без бурта'!C679</f>
        <v>380</v>
      </c>
      <c r="AF679" s="56">
        <f>'[2]Изложницы без бурта'!D679</f>
        <v>360</v>
      </c>
      <c r="AG679" s="56">
        <f>'[2]Изложницы без бурта'!E679</f>
        <v>450</v>
      </c>
      <c r="AH679" s="56" t="str">
        <f>'[2]Изложницы без бурта'!F679</f>
        <v>72.11874 - 5</v>
      </c>
      <c r="AI679" s="56">
        <f>'[2]Изложницы без бурта'!G679</f>
        <v>0</v>
      </c>
      <c r="AJ679" s="56">
        <f>'[2]Изложницы без бурта'!H679</f>
        <v>0</v>
      </c>
      <c r="AK679" s="56">
        <f>'[2]Изложницы без бурта'!I679</f>
        <v>0</v>
      </c>
      <c r="AL679" s="56" t="s">
        <v>623</v>
      </c>
      <c r="AM679" s="56">
        <f>'[2]Изложницы без бурта'!K679</f>
        <v>0</v>
      </c>
    </row>
    <row r="680" spans="28:39" x14ac:dyDescent="0.25">
      <c r="AB680" s="253" t="str">
        <f t="shared" si="26"/>
        <v/>
      </c>
      <c r="AC680" s="254" t="str">
        <f>IF(COUNTIF(AD$78:AD680,AD680)=1,MAX(AC$78:AC679)+1,"")</f>
        <v/>
      </c>
      <c r="AD680" s="215">
        <f>'[2]Изложницы без бурта'!B680</f>
        <v>232.5</v>
      </c>
      <c r="AE680" s="215">
        <f>'[2]Изложницы без бурта'!C680</f>
        <v>260</v>
      </c>
      <c r="AF680" s="56">
        <f>'[2]Изложницы без бурта'!D680</f>
        <v>375</v>
      </c>
      <c r="AG680" s="56">
        <f>'[2]Изложницы без бурта'!E680</f>
        <v>450</v>
      </c>
      <c r="AH680" s="56" t="str">
        <f>'[2]Изложницы без бурта'!F680</f>
        <v>72.11872 - 5</v>
      </c>
      <c r="AI680" s="56">
        <f>'[2]Изложницы без бурта'!G680</f>
        <v>0</v>
      </c>
      <c r="AJ680" s="56">
        <f>'[2]Изложницы без бурта'!H680</f>
        <v>0</v>
      </c>
      <c r="AK680" s="56">
        <f>'[2]Изложницы без бурта'!I680</f>
        <v>0</v>
      </c>
      <c r="AL680" s="56" t="s">
        <v>623</v>
      </c>
      <c r="AM680" s="56">
        <f>'[2]Изложницы без бурта'!K680</f>
        <v>0</v>
      </c>
    </row>
    <row r="681" spans="28:39" x14ac:dyDescent="0.25">
      <c r="AB681" s="253" t="str">
        <f t="shared" si="26"/>
        <v/>
      </c>
      <c r="AC681" s="254" t="str">
        <f>IF(COUNTIF(AD$78:AD681,AD681)=1,MAX(AC$78:AC680)+1,"")</f>
        <v/>
      </c>
      <c r="AD681" s="215">
        <f>'[2]Изложницы без бурта'!B681</f>
        <v>232.5</v>
      </c>
      <c r="AE681" s="215">
        <f>'[2]Изложницы без бурта'!C681</f>
        <v>500</v>
      </c>
      <c r="AF681" s="56">
        <f>'[2]Изложницы без бурта'!D681</f>
        <v>375</v>
      </c>
      <c r="AG681" s="56">
        <f>'[2]Изложницы без бурта'!E681</f>
        <v>400</v>
      </c>
      <c r="AH681" s="56" t="str">
        <f>'[2]Изложницы без бурта'!F681</f>
        <v>72.23398 - 5</v>
      </c>
      <c r="AI681" s="56">
        <f>'[2]Изложницы без бурта'!G681</f>
        <v>0</v>
      </c>
      <c r="AJ681" s="56">
        <f>'[2]Изложницы без бурта'!H681</f>
        <v>0</v>
      </c>
      <c r="AK681" s="56">
        <f>'[2]Изложницы без бурта'!I681</f>
        <v>0</v>
      </c>
      <c r="AL681" s="56" t="s">
        <v>623</v>
      </c>
      <c r="AM681" s="56">
        <f>'[2]Изложницы без бурта'!K681</f>
        <v>0</v>
      </c>
    </row>
    <row r="682" spans="28:39" x14ac:dyDescent="0.25">
      <c r="AB682" s="253" t="str">
        <f t="shared" si="26"/>
        <v/>
      </c>
      <c r="AC682" s="254" t="str">
        <f>IF(COUNTIF(AD$78:AD682,AD682)=1,MAX(AC$78:AC681)+1,"")</f>
        <v/>
      </c>
      <c r="AD682" s="215">
        <f>'[2]Изложницы без бурта'!B682</f>
        <v>232.5</v>
      </c>
      <c r="AE682" s="215">
        <f>'[2]Изложницы без бурта'!C682</f>
        <v>260</v>
      </c>
      <c r="AF682" s="56">
        <f>'[2]Изложницы без бурта'!D682</f>
        <v>375</v>
      </c>
      <c r="AG682" s="56">
        <f>'[2]Изложницы без бурта'!E682</f>
        <v>450</v>
      </c>
      <c r="AH682" s="56" t="str">
        <f>'[2]Изложницы без бурта'!F682</f>
        <v>72.11872 - 5</v>
      </c>
      <c r="AI682" s="56">
        <f>'[2]Изложницы без бурта'!G682</f>
        <v>0</v>
      </c>
      <c r="AJ682" s="56">
        <f>'[2]Изложницы без бурта'!H682</f>
        <v>0</v>
      </c>
      <c r="AK682" s="56">
        <f>'[2]Изложницы без бурта'!I682</f>
        <v>0</v>
      </c>
      <c r="AL682" s="56" t="s">
        <v>623</v>
      </c>
      <c r="AM682" s="56">
        <f>'[2]Изложницы без бурта'!K682</f>
        <v>0</v>
      </c>
    </row>
    <row r="683" spans="28:39" x14ac:dyDescent="0.25">
      <c r="AB683" s="253" t="str">
        <f t="shared" si="26"/>
        <v/>
      </c>
      <c r="AC683" s="254" t="str">
        <f>IF(COUNTIF(AD$78:AD683,AD683)=1,MAX(AC$78:AC682)+1,"")</f>
        <v/>
      </c>
      <c r="AD683" s="215">
        <f>'[2]Изложницы без бурта'!B683</f>
        <v>232.5</v>
      </c>
      <c r="AE683" s="215">
        <f>'[2]Изложницы без бурта'!C683</f>
        <v>260</v>
      </c>
      <c r="AF683" s="56">
        <f>'[2]Изложницы без бурта'!D683</f>
        <v>375</v>
      </c>
      <c r="AG683" s="56">
        <f>'[2]Изложницы без бурта'!E683</f>
        <v>450</v>
      </c>
      <c r="AH683" s="56" t="str">
        <f>'[2]Изложницы без бурта'!F683</f>
        <v>72.11872 - 5</v>
      </c>
      <c r="AI683" s="56">
        <f>'[2]Изложницы без бурта'!G683</f>
        <v>0</v>
      </c>
      <c r="AJ683" s="56">
        <f>'[2]Изложницы без бурта'!H683</f>
        <v>0</v>
      </c>
      <c r="AK683" s="56">
        <f>'[2]Изложницы без бурта'!I683</f>
        <v>0</v>
      </c>
      <c r="AL683" s="56" t="s">
        <v>623</v>
      </c>
      <c r="AM683" s="56">
        <f>'[2]Изложницы без бурта'!K683</f>
        <v>0</v>
      </c>
    </row>
    <row r="684" spans="28:39" x14ac:dyDescent="0.25">
      <c r="AB684" s="253" t="str">
        <f t="shared" si="26"/>
        <v/>
      </c>
      <c r="AC684" s="254" t="str">
        <f>IF(COUNTIF(AD$78:AD684,AD684)=1,MAX(AC$78:AC683)+1,"")</f>
        <v/>
      </c>
      <c r="AD684" s="215">
        <f>'[2]Изложницы без бурта'!B684</f>
        <v>232.5</v>
      </c>
      <c r="AE684" s="215">
        <f>'[2]Изложницы без бурта'!C684</f>
        <v>260</v>
      </c>
      <c r="AF684" s="56">
        <f>'[2]Изложницы без бурта'!D684</f>
        <v>375</v>
      </c>
      <c r="AG684" s="56">
        <f>'[2]Изложницы без бурта'!E684</f>
        <v>450</v>
      </c>
      <c r="AH684" s="56" t="str">
        <f>'[2]Изложницы без бурта'!F684</f>
        <v>72.11872 - 5</v>
      </c>
      <c r="AI684" s="56">
        <f>'[2]Изложницы без бурта'!G684</f>
        <v>0</v>
      </c>
      <c r="AJ684" s="56">
        <f>'[2]Изложницы без бурта'!H684</f>
        <v>0</v>
      </c>
      <c r="AK684" s="56">
        <f>'[2]Изложницы без бурта'!I684</f>
        <v>0</v>
      </c>
      <c r="AL684" s="56" t="s">
        <v>623</v>
      </c>
      <c r="AM684" s="56">
        <f>'[2]Изложницы без бурта'!K684</f>
        <v>0</v>
      </c>
    </row>
    <row r="685" spans="28:39" x14ac:dyDescent="0.25">
      <c r="AB685" s="253" t="str">
        <f t="shared" si="26"/>
        <v/>
      </c>
      <c r="AC685" s="254" t="str">
        <f>IF(COUNTIF(AD$78:AD685,AD685)=1,MAX(AC$78:AC684)+1,"")</f>
        <v/>
      </c>
      <c r="AD685" s="215">
        <f>'[2]Изложницы без бурта'!B685</f>
        <v>232.5</v>
      </c>
      <c r="AE685" s="215">
        <f>'[2]Изложницы без бурта'!C685</f>
        <v>258</v>
      </c>
      <c r="AF685" s="56">
        <f>'[2]Изложницы без бурта'!D685</f>
        <v>360</v>
      </c>
      <c r="AG685" s="56">
        <f>'[2]Изложницы без бурта'!E685</f>
        <v>450</v>
      </c>
      <c r="AH685" s="56" t="str">
        <f>'[2]Изложницы без бурта'!F685</f>
        <v>72.11872 - 5</v>
      </c>
      <c r="AI685" s="56">
        <f>'[2]Изложницы без бурта'!G685</f>
        <v>0</v>
      </c>
      <c r="AJ685" s="56">
        <f>'[2]Изложницы без бурта'!H685</f>
        <v>0</v>
      </c>
      <c r="AK685" s="56">
        <f>'[2]Изложницы без бурта'!I685</f>
        <v>0</v>
      </c>
      <c r="AL685" s="56" t="s">
        <v>623</v>
      </c>
      <c r="AM685" s="56">
        <f>'[2]Изложницы без бурта'!K685</f>
        <v>0</v>
      </c>
    </row>
    <row r="686" spans="28:39" x14ac:dyDescent="0.25">
      <c r="AB686" s="253" t="str">
        <f t="shared" si="26"/>
        <v/>
      </c>
      <c r="AC686" s="254" t="str">
        <f>IF(COUNTIF(AD$78:AD686,AD686)=1,MAX(AC$78:AC685)+1,"")</f>
        <v/>
      </c>
      <c r="AD686" s="215">
        <f>'[2]Изложницы без бурта'!B686</f>
        <v>232.5</v>
      </c>
      <c r="AE686" s="215">
        <f>'[2]Изложницы без бурта'!C686</f>
        <v>257</v>
      </c>
      <c r="AF686" s="56">
        <f>'[2]Изложницы без бурта'!D686</f>
        <v>360</v>
      </c>
      <c r="AG686" s="56">
        <f>'[2]Изложницы без бурта'!E686</f>
        <v>450</v>
      </c>
      <c r="AH686" s="56" t="str">
        <f>'[2]Изложницы без бурта'!F686</f>
        <v>72.11872 - 5</v>
      </c>
      <c r="AI686" s="56">
        <f>'[2]Изложницы без бурта'!G686</f>
        <v>0</v>
      </c>
      <c r="AJ686" s="56">
        <f>'[2]Изложницы без бурта'!H686</f>
        <v>0</v>
      </c>
      <c r="AK686" s="56">
        <f>'[2]Изложницы без бурта'!I686</f>
        <v>0</v>
      </c>
      <c r="AL686" s="56" t="s">
        <v>623</v>
      </c>
      <c r="AM686" s="56">
        <f>'[2]Изложницы без бурта'!K686</f>
        <v>0</v>
      </c>
    </row>
    <row r="687" spans="28:39" x14ac:dyDescent="0.25">
      <c r="AB687" s="253" t="str">
        <f t="shared" si="26"/>
        <v/>
      </c>
      <c r="AC687" s="254" t="str">
        <f>IF(COUNTIF(AD$78:AD687,AD687)=1,MAX(AC$78:AC686)+1,"")</f>
        <v/>
      </c>
      <c r="AD687" s="215">
        <f>'[2]Изложницы без бурта'!B687</f>
        <v>232.5</v>
      </c>
      <c r="AE687" s="215">
        <f>'[2]Изложницы без бурта'!C687</f>
        <v>260</v>
      </c>
      <c r="AF687" s="56">
        <f>'[2]Изложницы без бурта'!D687</f>
        <v>360</v>
      </c>
      <c r="AG687" s="56">
        <f>'[2]Изложницы без бурта'!E687</f>
        <v>450</v>
      </c>
      <c r="AH687" s="56" t="str">
        <f>'[2]Изложницы без бурта'!F687</f>
        <v>72.11872 - 5</v>
      </c>
      <c r="AI687" s="56">
        <f>'[2]Изложницы без бурта'!G687</f>
        <v>0</v>
      </c>
      <c r="AJ687" s="56">
        <f>'[2]Изложницы без бурта'!H687</f>
        <v>0</v>
      </c>
      <c r="AK687" s="56">
        <f>'[2]Изложницы без бурта'!I687</f>
        <v>0</v>
      </c>
      <c r="AL687" s="56" t="s">
        <v>623</v>
      </c>
      <c r="AM687" s="56">
        <f>'[2]Изложницы без бурта'!K687</f>
        <v>0</v>
      </c>
    </row>
    <row r="688" spans="28:39" x14ac:dyDescent="0.25">
      <c r="AB688" s="253" t="str">
        <f t="shared" si="26"/>
        <v/>
      </c>
      <c r="AC688" s="254" t="str">
        <f>IF(COUNTIF(AD$78:AD688,AD688)=1,MAX(AC$78:AC687)+1,"")</f>
        <v/>
      </c>
      <c r="AD688" s="215">
        <f>'[2]Изложницы без бурта'!B688</f>
        <v>232.5</v>
      </c>
      <c r="AE688" s="215">
        <f>'[2]Изложницы без бурта'!C688</f>
        <v>260</v>
      </c>
      <c r="AF688" s="56">
        <f>'[2]Изложницы без бурта'!D688</f>
        <v>375</v>
      </c>
      <c r="AG688" s="56">
        <f>'[2]Изложницы без бурта'!E688</f>
        <v>450</v>
      </c>
      <c r="AH688" s="56" t="str">
        <f>'[2]Изложницы без бурта'!F688</f>
        <v>72.11872 - 5</v>
      </c>
      <c r="AI688" s="56">
        <f>'[2]Изложницы без бурта'!G688</f>
        <v>0</v>
      </c>
      <c r="AJ688" s="56">
        <f>'[2]Изложницы без бурта'!H688</f>
        <v>0</v>
      </c>
      <c r="AK688" s="56">
        <f>'[2]Изложницы без бурта'!I688</f>
        <v>0</v>
      </c>
      <c r="AL688" s="56" t="s">
        <v>623</v>
      </c>
      <c r="AM688" s="56">
        <f>'[2]Изложницы без бурта'!K688</f>
        <v>0</v>
      </c>
    </row>
    <row r="689" spans="28:39" x14ac:dyDescent="0.25">
      <c r="AB689" s="253" t="str">
        <f t="shared" si="26"/>
        <v/>
      </c>
      <c r="AC689" s="254" t="str">
        <f>IF(COUNTIF(AD$78:AD689,AD689)=1,MAX(AC$78:AC688)+1,"")</f>
        <v/>
      </c>
      <c r="AD689" s="215">
        <f>'[2]Изложницы без бурта'!B689</f>
        <v>232.5</v>
      </c>
      <c r="AE689" s="215">
        <f>'[2]Изложницы без бурта'!C689</f>
        <v>380</v>
      </c>
      <c r="AF689" s="56">
        <f>'[2]Изложницы без бурта'!D689</f>
        <v>375</v>
      </c>
      <c r="AG689" s="56">
        <f>'[2]Изложницы без бурта'!E689</f>
        <v>450</v>
      </c>
      <c r="AH689" s="56" t="str">
        <f>'[2]Изложницы без бурта'!F689</f>
        <v>72.11874 - 5</v>
      </c>
      <c r="AI689" s="56">
        <f>'[2]Изложницы без бурта'!G689</f>
        <v>0</v>
      </c>
      <c r="AJ689" s="56">
        <f>'[2]Изложницы без бурта'!H689</f>
        <v>0</v>
      </c>
      <c r="AK689" s="56">
        <f>'[2]Изложницы без бурта'!I689</f>
        <v>0</v>
      </c>
      <c r="AL689" s="56" t="s">
        <v>623</v>
      </c>
      <c r="AM689" s="56">
        <f>'[2]Изложницы без бурта'!K689</f>
        <v>0</v>
      </c>
    </row>
    <row r="690" spans="28:39" x14ac:dyDescent="0.25">
      <c r="AB690" s="253" t="str">
        <f t="shared" si="26"/>
        <v/>
      </c>
      <c r="AC690" s="254" t="str">
        <f>IF(COUNTIF(AD$78:AD690,AD690)=1,MAX(AC$78:AC689)+1,"")</f>
        <v/>
      </c>
      <c r="AD690" s="215">
        <f>'[2]Изложницы без бурта'!B690</f>
        <v>232.5</v>
      </c>
      <c r="AE690" s="215">
        <f>'[2]Изложницы без бурта'!C690</f>
        <v>260</v>
      </c>
      <c r="AF690" s="56">
        <f>'[2]Изложницы без бурта'!D690</f>
        <v>375</v>
      </c>
      <c r="AG690" s="56">
        <f>'[2]Изложницы без бурта'!E690</f>
        <v>450</v>
      </c>
      <c r="AH690" s="56" t="str">
        <f>'[2]Изложницы без бурта'!F690</f>
        <v>72.11872 - 5</v>
      </c>
      <c r="AI690" s="56">
        <f>'[2]Изложницы без бурта'!G690</f>
        <v>0</v>
      </c>
      <c r="AJ690" s="56">
        <f>'[2]Изложницы без бурта'!H690</f>
        <v>0</v>
      </c>
      <c r="AK690" s="56">
        <f>'[2]Изложницы без бурта'!I690</f>
        <v>0</v>
      </c>
      <c r="AL690" s="56" t="s">
        <v>623</v>
      </c>
      <c r="AM690" s="56">
        <f>'[2]Изложницы без бурта'!K690</f>
        <v>0</v>
      </c>
    </row>
    <row r="691" spans="28:39" x14ac:dyDescent="0.25">
      <c r="AB691" s="253" t="str">
        <f t="shared" si="26"/>
        <v/>
      </c>
      <c r="AC691" s="254" t="str">
        <f>IF(COUNTIF(AD$78:AD691,AD691)=1,MAX(AC$78:AC690)+1,"")</f>
        <v/>
      </c>
      <c r="AD691" s="215">
        <f>'[2]Изложницы без бурта'!B691</f>
        <v>232.5</v>
      </c>
      <c r="AE691" s="215">
        <f>'[2]Изложницы без бурта'!C691</f>
        <v>380</v>
      </c>
      <c r="AF691" s="56">
        <f>'[2]Изложницы без бурта'!D691</f>
        <v>360</v>
      </c>
      <c r="AG691" s="56">
        <f>'[2]Изложницы без бурта'!E691</f>
        <v>450</v>
      </c>
      <c r="AH691" s="56" t="str">
        <f>'[2]Изложницы без бурта'!F691</f>
        <v>72.11874 - 5</v>
      </c>
      <c r="AI691" s="56">
        <f>'[2]Изложницы без бурта'!G691</f>
        <v>0</v>
      </c>
      <c r="AJ691" s="56">
        <f>'[2]Изложницы без бурта'!H691</f>
        <v>0</v>
      </c>
      <c r="AK691" s="56">
        <f>'[2]Изложницы без бурта'!I691</f>
        <v>0</v>
      </c>
      <c r="AL691" s="56" t="s">
        <v>623</v>
      </c>
      <c r="AM691" s="56">
        <f>'[2]Изложницы без бурта'!K691</f>
        <v>0</v>
      </c>
    </row>
    <row r="692" spans="28:39" x14ac:dyDescent="0.25">
      <c r="AB692" s="253" t="str">
        <f t="shared" si="26"/>
        <v/>
      </c>
      <c r="AC692" s="254" t="str">
        <f>IF(COUNTIF(AD$78:AD692,AD692)=1,MAX(AC$78:AC691)+1,"")</f>
        <v/>
      </c>
      <c r="AD692" s="215">
        <f>'[2]Изложницы без бурта'!B692</f>
        <v>232.5</v>
      </c>
      <c r="AE692" s="215">
        <f>'[2]Изложницы без бурта'!C692</f>
        <v>260</v>
      </c>
      <c r="AF692" s="56">
        <f>'[2]Изложницы без бурта'!D692</f>
        <v>375</v>
      </c>
      <c r="AG692" s="56">
        <f>'[2]Изложницы без бурта'!E692</f>
        <v>450</v>
      </c>
      <c r="AH692" s="56" t="str">
        <f>'[2]Изложницы без бурта'!F692</f>
        <v>72.11872 - 5</v>
      </c>
      <c r="AI692" s="56">
        <f>'[2]Изложницы без бурта'!G692</f>
        <v>0</v>
      </c>
      <c r="AJ692" s="56">
        <f>'[2]Изложницы без бурта'!H692</f>
        <v>0</v>
      </c>
      <c r="AK692" s="56">
        <f>'[2]Изложницы без бурта'!I692</f>
        <v>0</v>
      </c>
      <c r="AL692" s="56" t="s">
        <v>623</v>
      </c>
      <c r="AM692" s="56">
        <f>'[2]Изложницы без бурта'!K692</f>
        <v>0</v>
      </c>
    </row>
    <row r="693" spans="28:39" x14ac:dyDescent="0.25">
      <c r="AB693" s="253" t="str">
        <f t="shared" si="26"/>
        <v/>
      </c>
      <c r="AC693" s="254" t="str">
        <f>IF(COUNTIF(AD$78:AD693,AD693)=1,MAX(AC$78:AC692)+1,"")</f>
        <v/>
      </c>
      <c r="AD693" s="215">
        <f>'[2]Изложницы без бурта'!B693</f>
        <v>232.5</v>
      </c>
      <c r="AE693" s="215">
        <f>'[2]Изложницы без бурта'!C693</f>
        <v>260</v>
      </c>
      <c r="AF693" s="56">
        <f>'[2]Изложницы без бурта'!D693</f>
        <v>375</v>
      </c>
      <c r="AG693" s="56">
        <f>'[2]Изложницы без бурта'!E693</f>
        <v>450</v>
      </c>
      <c r="AH693" s="56" t="str">
        <f>'[2]Изложницы без бурта'!F693</f>
        <v>72.11872 - 5</v>
      </c>
      <c r="AI693" s="56">
        <f>'[2]Изложницы без бурта'!G693</f>
        <v>0</v>
      </c>
      <c r="AJ693" s="56">
        <f>'[2]Изложницы без бурта'!H693</f>
        <v>0</v>
      </c>
      <c r="AK693" s="56">
        <f>'[2]Изложницы без бурта'!I693</f>
        <v>0</v>
      </c>
      <c r="AL693" s="56" t="s">
        <v>623</v>
      </c>
      <c r="AM693" s="56">
        <f>'[2]Изложницы без бурта'!K693</f>
        <v>0</v>
      </c>
    </row>
    <row r="694" spans="28:39" x14ac:dyDescent="0.25">
      <c r="AB694" s="253" t="str">
        <f t="shared" si="26"/>
        <v/>
      </c>
      <c r="AC694" s="254" t="str">
        <f>IF(COUNTIF(AD$78:AD694,AD694)=1,MAX(AC$78:AC693)+1,"")</f>
        <v/>
      </c>
      <c r="AD694" s="215">
        <f>'[2]Изложницы без бурта'!B694</f>
        <v>232.5</v>
      </c>
      <c r="AE694" s="215">
        <f>'[2]Изложницы без бурта'!C694</f>
        <v>260</v>
      </c>
      <c r="AF694" s="56">
        <f>'[2]Изложницы без бурта'!D694</f>
        <v>375</v>
      </c>
      <c r="AG694" s="56">
        <f>'[2]Изложницы без бурта'!E694</f>
        <v>450</v>
      </c>
      <c r="AH694" s="56" t="str">
        <f>'[2]Изложницы без бурта'!F694</f>
        <v>72.11872 - 5</v>
      </c>
      <c r="AI694" s="56">
        <f>'[2]Изложницы без бурта'!G694</f>
        <v>0</v>
      </c>
      <c r="AJ694" s="56">
        <f>'[2]Изложницы без бурта'!H694</f>
        <v>0</v>
      </c>
      <c r="AK694" s="56">
        <f>'[2]Изложницы без бурта'!I694</f>
        <v>0</v>
      </c>
      <c r="AL694" s="56" t="s">
        <v>623</v>
      </c>
      <c r="AM694" s="56">
        <f>'[2]Изложницы без бурта'!K694</f>
        <v>0</v>
      </c>
    </row>
    <row r="695" spans="28:39" x14ac:dyDescent="0.25">
      <c r="AB695" s="253" t="str">
        <f t="shared" si="26"/>
        <v/>
      </c>
      <c r="AC695" s="254" t="str">
        <f>IF(COUNTIF(AD$78:AD695,AD695)=1,MAX(AC$78:AC694)+1,"")</f>
        <v/>
      </c>
      <c r="AD695" s="215">
        <f>'[2]Изложницы без бурта'!B695</f>
        <v>232.5</v>
      </c>
      <c r="AE695" s="215">
        <f>'[2]Изложницы без бурта'!C695</f>
        <v>260</v>
      </c>
      <c r="AF695" s="56">
        <f>'[2]Изложницы без бурта'!D695</f>
        <v>375</v>
      </c>
      <c r="AG695" s="56">
        <f>'[2]Изложницы без бурта'!E695</f>
        <v>450</v>
      </c>
      <c r="AH695" s="56" t="str">
        <f>'[2]Изложницы без бурта'!F695</f>
        <v>72.11872 - 5</v>
      </c>
      <c r="AI695" s="56">
        <f>'[2]Изложницы без бурта'!G695</f>
        <v>0</v>
      </c>
      <c r="AJ695" s="56">
        <f>'[2]Изложницы без бурта'!H695</f>
        <v>0</v>
      </c>
      <c r="AK695" s="56">
        <f>'[2]Изложницы без бурта'!I695</f>
        <v>0</v>
      </c>
      <c r="AL695" s="56" t="s">
        <v>623</v>
      </c>
      <c r="AM695" s="56">
        <f>'[2]Изложницы без бурта'!K695</f>
        <v>0</v>
      </c>
    </row>
    <row r="696" spans="28:39" x14ac:dyDescent="0.25">
      <c r="AB696" s="253" t="str">
        <f t="shared" si="26"/>
        <v/>
      </c>
      <c r="AC696" s="254" t="str">
        <f>IF(COUNTIF(AD$78:AD696,AD696)=1,MAX(AC$78:AC695)+1,"")</f>
        <v/>
      </c>
      <c r="AD696" s="215">
        <f>'[2]Изложницы без бурта'!B696</f>
        <v>232.5</v>
      </c>
      <c r="AE696" s="215">
        <f>'[2]Изложницы без бурта'!C696</f>
        <v>260</v>
      </c>
      <c r="AF696" s="56">
        <f>'[2]Изложницы без бурта'!D696</f>
        <v>360</v>
      </c>
      <c r="AG696" s="56">
        <f>'[2]Изложницы без бурта'!E696</f>
        <v>450</v>
      </c>
      <c r="AH696" s="56" t="str">
        <f>'[2]Изложницы без бурта'!F696</f>
        <v>72.11872 - 5</v>
      </c>
      <c r="AI696" s="56">
        <f>'[2]Изложницы без бурта'!G696</f>
        <v>0</v>
      </c>
      <c r="AJ696" s="56">
        <f>'[2]Изложницы без бурта'!H696</f>
        <v>0</v>
      </c>
      <c r="AK696" s="56">
        <f>'[2]Изложницы без бурта'!I696</f>
        <v>0</v>
      </c>
      <c r="AL696" s="56" t="s">
        <v>623</v>
      </c>
      <c r="AM696" s="56">
        <f>'[2]Изложницы без бурта'!K696</f>
        <v>0</v>
      </c>
    </row>
    <row r="697" spans="28:39" x14ac:dyDescent="0.25">
      <c r="AB697" s="253" t="str">
        <f t="shared" ref="AB697:AB760" si="27">IF(MAX(AC697:AC1774)&lt;ROW(619:619),"",VLOOKUP(ROW(619:619),AC697:AD1774,2))</f>
        <v/>
      </c>
      <c r="AC697" s="254" t="str">
        <f>IF(COUNTIF(AD$78:AD697,AD697)=1,MAX(AC$78:AC696)+1,"")</f>
        <v/>
      </c>
      <c r="AD697" s="215">
        <f>'[2]Изложницы без бурта'!B697</f>
        <v>232.5</v>
      </c>
      <c r="AE697" s="215">
        <f>'[2]Изложницы без бурта'!C697</f>
        <v>395</v>
      </c>
      <c r="AF697" s="56">
        <f>'[2]Изложницы без бурта'!D697</f>
        <v>360</v>
      </c>
      <c r="AG697" s="56">
        <f>'[2]Изложницы без бурта'!E697</f>
        <v>400</v>
      </c>
      <c r="AH697" s="56" t="str">
        <f>'[2]Изложницы без бурта'!F697</f>
        <v>10.255223 - 14</v>
      </c>
      <c r="AI697" s="56">
        <f>'[2]Изложницы без бурта'!G697</f>
        <v>7260031</v>
      </c>
      <c r="AJ697" s="56">
        <f>'[2]Изложницы без бурта'!H697</f>
        <v>0</v>
      </c>
      <c r="AK697" s="56">
        <f>'[2]Изложницы без бурта'!I697</f>
        <v>0</v>
      </c>
      <c r="AL697" s="56" t="s">
        <v>623</v>
      </c>
      <c r="AM697" s="56">
        <f>'[2]Изложницы без бурта'!K697</f>
        <v>0</v>
      </c>
    </row>
    <row r="698" spans="28:39" x14ac:dyDescent="0.25">
      <c r="AB698" s="253" t="str">
        <f t="shared" si="27"/>
        <v/>
      </c>
      <c r="AC698" s="254" t="str">
        <f>IF(COUNTIF(AD$78:AD698,AD698)=1,MAX(AC$78:AC697)+1,"")</f>
        <v/>
      </c>
      <c r="AD698" s="215">
        <f>'[2]Изложницы без бурта'!B698</f>
        <v>232.5</v>
      </c>
      <c r="AE698" s="215">
        <f>'[2]Изложницы без бурта'!C698</f>
        <v>398</v>
      </c>
      <c r="AF698" s="56">
        <f>'[2]Изложницы без бурта'!D698</f>
        <v>285</v>
      </c>
      <c r="AG698" s="56">
        <f>'[2]Изложницы без бурта'!E698</f>
        <v>400</v>
      </c>
      <c r="AH698" s="56" t="str">
        <f>'[2]Изложницы без бурта'!F698</f>
        <v>10.255223 - 14</v>
      </c>
      <c r="AI698" s="56">
        <f>'[2]Изложницы без бурта'!G698</f>
        <v>7260031</v>
      </c>
      <c r="AJ698" s="56">
        <f>'[2]Изложницы без бурта'!H698</f>
        <v>0</v>
      </c>
      <c r="AK698" s="56">
        <f>'[2]Изложницы без бурта'!I698</f>
        <v>0</v>
      </c>
      <c r="AL698" s="56" t="s">
        <v>623</v>
      </c>
      <c r="AM698" s="56">
        <f>'[2]Изложницы без бурта'!K698</f>
        <v>0</v>
      </c>
    </row>
    <row r="699" spans="28:39" x14ac:dyDescent="0.25">
      <c r="AB699" s="253" t="str">
        <f t="shared" si="27"/>
        <v/>
      </c>
      <c r="AC699" s="254">
        <f>IF(COUNTIF(AD$78:AD699,AD699)=1,MAX(AC$78:AC698)+1,"")</f>
        <v>59</v>
      </c>
      <c r="AD699" s="215">
        <f>'[2]Изложницы без бурта'!B699</f>
        <v>235</v>
      </c>
      <c r="AE699" s="215">
        <f>'[2]Изложницы без бурта'!C699</f>
        <v>320</v>
      </c>
      <c r="AF699" s="56">
        <f>'[2]Изложницы без бурта'!D699</f>
        <v>375</v>
      </c>
      <c r="AG699" s="56">
        <f>'[2]Изложницы без бурта'!E699</f>
        <v>450</v>
      </c>
      <c r="AH699" s="56" t="str">
        <f>'[2]Изложницы без бурта'!F699</f>
        <v>72.11873 - 6</v>
      </c>
      <c r="AI699" s="56">
        <f>'[2]Изложницы без бурта'!G699</f>
        <v>0</v>
      </c>
      <c r="AJ699" s="56">
        <f>'[2]Изложницы без бурта'!H699</f>
        <v>0</v>
      </c>
      <c r="AK699" s="56">
        <f>'[2]Изложницы без бурта'!I699</f>
        <v>0</v>
      </c>
      <c r="AL699" s="56" t="s">
        <v>624</v>
      </c>
      <c r="AM699" s="56">
        <f>'[2]Изложницы без бурта'!K699</f>
        <v>0</v>
      </c>
    </row>
    <row r="700" spans="28:39" x14ac:dyDescent="0.25">
      <c r="AB700" s="253" t="str">
        <f t="shared" si="27"/>
        <v/>
      </c>
      <c r="AC700" s="254" t="str">
        <f>IF(COUNTIF(AD$78:AD700,AD700)=1,MAX(AC$78:AC699)+1,"")</f>
        <v/>
      </c>
      <c r="AD700" s="215">
        <f>'[2]Изложницы без бурта'!B700</f>
        <v>235</v>
      </c>
      <c r="AE700" s="215">
        <f>'[2]Изложницы без бурта'!C700</f>
        <v>318</v>
      </c>
      <c r="AF700" s="56">
        <f>'[2]Изложницы без бурта'!D700</f>
        <v>360</v>
      </c>
      <c r="AG700" s="56">
        <f>'[2]Изложницы без бурта'!E700</f>
        <v>450</v>
      </c>
      <c r="AH700" s="56" t="str">
        <f>'[2]Изложницы без бурта'!F700</f>
        <v>72.11873 - 6</v>
      </c>
      <c r="AI700" s="56">
        <f>'[2]Изложницы без бурта'!G700</f>
        <v>0</v>
      </c>
      <c r="AJ700" s="56">
        <f>'[2]Изложницы без бурта'!H700</f>
        <v>0</v>
      </c>
      <c r="AK700" s="56">
        <f>'[2]Изложницы без бурта'!I700</f>
        <v>0</v>
      </c>
      <c r="AL700" s="56" t="s">
        <v>624</v>
      </c>
      <c r="AM700" s="56">
        <f>'[2]Изложницы без бурта'!K700</f>
        <v>0</v>
      </c>
    </row>
    <row r="701" spans="28:39" x14ac:dyDescent="0.25">
      <c r="AB701" s="253" t="str">
        <f t="shared" si="27"/>
        <v/>
      </c>
      <c r="AC701" s="254" t="str">
        <f>IF(COUNTIF(AD$78:AD701,AD701)=1,MAX(AC$78:AC700)+1,"")</f>
        <v/>
      </c>
      <c r="AD701" s="215">
        <f>'[2]Изложницы без бурта'!B701</f>
        <v>235</v>
      </c>
      <c r="AE701" s="215">
        <f>'[2]Изложницы без бурта'!C701</f>
        <v>318</v>
      </c>
      <c r="AF701" s="56">
        <f>'[2]Изложницы без бурта'!D701</f>
        <v>375</v>
      </c>
      <c r="AG701" s="56">
        <f>'[2]Изложницы без бурта'!E701</f>
        <v>450</v>
      </c>
      <c r="AH701" s="56" t="str">
        <f>'[2]Изложницы без бурта'!F701</f>
        <v>72.11873 - 6</v>
      </c>
      <c r="AI701" s="56">
        <f>'[2]Изложницы без бурта'!G701</f>
        <v>0</v>
      </c>
      <c r="AJ701" s="56">
        <f>'[2]Изложницы без бурта'!H701</f>
        <v>0</v>
      </c>
      <c r="AK701" s="56">
        <f>'[2]Изложницы без бурта'!I701</f>
        <v>0</v>
      </c>
      <c r="AL701" s="56" t="s">
        <v>624</v>
      </c>
      <c r="AM701" s="56">
        <f>'[2]Изложницы без бурта'!K701</f>
        <v>0</v>
      </c>
    </row>
    <row r="702" spans="28:39" x14ac:dyDescent="0.25">
      <c r="AB702" s="253" t="str">
        <f t="shared" si="27"/>
        <v/>
      </c>
      <c r="AC702" s="254" t="str">
        <f>IF(COUNTIF(AD$78:AD702,AD702)=1,MAX(AC$78:AC701)+1,"")</f>
        <v/>
      </c>
      <c r="AD702" s="215">
        <f>'[2]Изложницы без бурта'!B702</f>
        <v>235</v>
      </c>
      <c r="AE702" s="215">
        <f>'[2]Изложницы без бурта'!C702</f>
        <v>380</v>
      </c>
      <c r="AF702" s="56">
        <f>'[2]Изложницы без бурта'!D702</f>
        <v>360</v>
      </c>
      <c r="AG702" s="56">
        <f>'[2]Изложницы без бурта'!E702</f>
        <v>450</v>
      </c>
      <c r="AH702" s="56" t="str">
        <f>'[2]Изложницы без бурта'!F702</f>
        <v>72.11874 - 6</v>
      </c>
      <c r="AI702" s="56">
        <f>'[2]Изложницы без бурта'!G702</f>
        <v>0</v>
      </c>
      <c r="AJ702" s="56">
        <f>'[2]Изложницы без бурта'!H702</f>
        <v>0</v>
      </c>
      <c r="AK702" s="56">
        <f>'[2]Изложницы без бурта'!I702</f>
        <v>0</v>
      </c>
      <c r="AL702" s="56" t="s">
        <v>624</v>
      </c>
      <c r="AM702" s="56">
        <f>'[2]Изложницы без бурта'!K702</f>
        <v>0</v>
      </c>
    </row>
    <row r="703" spans="28:39" x14ac:dyDescent="0.25">
      <c r="AB703" s="253" t="str">
        <f t="shared" si="27"/>
        <v/>
      </c>
      <c r="AC703" s="254" t="str">
        <f>IF(COUNTIF(AD$78:AD703,AD703)=1,MAX(AC$78:AC702)+1,"")</f>
        <v/>
      </c>
      <c r="AD703" s="215">
        <f>'[2]Изложницы без бурта'!B703</f>
        <v>235</v>
      </c>
      <c r="AE703" s="215">
        <f>'[2]Изложницы без бурта'!C703</f>
        <v>258</v>
      </c>
      <c r="AF703" s="56">
        <f>'[2]Изложницы без бурта'!D703</f>
        <v>360</v>
      </c>
      <c r="AG703" s="56">
        <f>'[2]Изложницы без бурта'!E703</f>
        <v>450</v>
      </c>
      <c r="AH703" s="56" t="str">
        <f>'[2]Изложницы без бурта'!F703</f>
        <v>72.11872 - 6</v>
      </c>
      <c r="AI703" s="56">
        <f>'[2]Изложницы без бурта'!G703</f>
        <v>7260032</v>
      </c>
      <c r="AJ703" s="56">
        <f>'[2]Изложницы без бурта'!H703</f>
        <v>0</v>
      </c>
      <c r="AK703" s="56">
        <f>'[2]Изложницы без бурта'!I703</f>
        <v>0</v>
      </c>
      <c r="AL703" s="56" t="s">
        <v>624</v>
      </c>
      <c r="AM703" s="56">
        <f>'[2]Изложницы без бурта'!K703</f>
        <v>0</v>
      </c>
    </row>
    <row r="704" spans="28:39" x14ac:dyDescent="0.25">
      <c r="AB704" s="253" t="str">
        <f t="shared" si="27"/>
        <v/>
      </c>
      <c r="AC704" s="254" t="str">
        <f>IF(COUNTIF(AD$78:AD704,AD704)=1,MAX(AC$78:AC703)+1,"")</f>
        <v/>
      </c>
      <c r="AD704" s="215">
        <f>'[2]Изложницы без бурта'!B704</f>
        <v>235</v>
      </c>
      <c r="AE704" s="215">
        <f>'[2]Изложницы без бурта'!C704</f>
        <v>377</v>
      </c>
      <c r="AF704" s="56">
        <f>'[2]Изложницы без бурта'!D704</f>
        <v>360</v>
      </c>
      <c r="AG704" s="56">
        <f>'[2]Изложницы без бурта'!E704</f>
        <v>450</v>
      </c>
      <c r="AH704" s="56" t="str">
        <f>'[2]Изложницы без бурта'!F704</f>
        <v>72.11874 - 6</v>
      </c>
      <c r="AI704" s="56">
        <f>'[2]Изложницы без бурта'!G704</f>
        <v>0</v>
      </c>
      <c r="AJ704" s="56">
        <f>'[2]Изложницы без бурта'!H704</f>
        <v>0</v>
      </c>
      <c r="AK704" s="56">
        <f>'[2]Изложницы без бурта'!I704</f>
        <v>0</v>
      </c>
      <c r="AL704" s="56" t="s">
        <v>624</v>
      </c>
      <c r="AM704" s="56">
        <f>'[2]Изложницы без бурта'!K704</f>
        <v>0</v>
      </c>
    </row>
    <row r="705" spans="28:39" x14ac:dyDescent="0.25">
      <c r="AB705" s="253" t="str">
        <f t="shared" si="27"/>
        <v/>
      </c>
      <c r="AC705" s="254" t="str">
        <f>IF(COUNTIF(AD$78:AD705,AD705)=1,MAX(AC$78:AC704)+1,"")</f>
        <v/>
      </c>
      <c r="AD705" s="215">
        <f>'[2]Изложницы без бурта'!B705</f>
        <v>235</v>
      </c>
      <c r="AE705" s="215">
        <f>'[2]Изложницы без бурта'!C705</f>
        <v>380</v>
      </c>
      <c r="AF705" s="56">
        <f>'[2]Изложницы без бурта'!D705</f>
        <v>360</v>
      </c>
      <c r="AG705" s="56">
        <f>'[2]Изложницы без бурта'!E705</f>
        <v>450</v>
      </c>
      <c r="AH705" s="56" t="str">
        <f>'[2]Изложницы без бурта'!F705</f>
        <v>72.11874 - 6</v>
      </c>
      <c r="AI705" s="56">
        <f>'[2]Изложницы без бурта'!G705</f>
        <v>0</v>
      </c>
      <c r="AJ705" s="56">
        <f>'[2]Изложницы без бурта'!H705</f>
        <v>0</v>
      </c>
      <c r="AK705" s="56">
        <f>'[2]Изложницы без бурта'!I705</f>
        <v>0</v>
      </c>
      <c r="AL705" s="56" t="s">
        <v>624</v>
      </c>
      <c r="AM705" s="56">
        <f>'[2]Изложницы без бурта'!K705</f>
        <v>0</v>
      </c>
    </row>
    <row r="706" spans="28:39" x14ac:dyDescent="0.25">
      <c r="AB706" s="253" t="str">
        <f t="shared" si="27"/>
        <v/>
      </c>
      <c r="AC706" s="254">
        <f>IF(COUNTIF(AD$78:AD706,AD706)=1,MAX(AC$78:AC705)+1,"")</f>
        <v>60</v>
      </c>
      <c r="AD706" s="215">
        <f>'[2]Изложницы без бурта'!B706</f>
        <v>237.5</v>
      </c>
      <c r="AE706" s="215">
        <f>'[2]Изложницы без бурта'!C706</f>
        <v>317</v>
      </c>
      <c r="AF706" s="56">
        <f>'[2]Изложницы без бурта'!D706</f>
        <v>360</v>
      </c>
      <c r="AG706" s="56">
        <f>'[2]Изложницы без бурта'!E706</f>
        <v>450</v>
      </c>
      <c r="AH706" s="56" t="str">
        <f>'[2]Изложницы без бурта'!F706</f>
        <v>72.11873 - 7</v>
      </c>
      <c r="AI706" s="56">
        <f>'[2]Изложницы без бурта'!G706</f>
        <v>0</v>
      </c>
      <c r="AJ706" s="56">
        <f>'[2]Изложницы без бурта'!H706</f>
        <v>0</v>
      </c>
      <c r="AK706" s="56">
        <f>'[2]Изложницы без бурта'!I706</f>
        <v>0</v>
      </c>
      <c r="AL706" s="56" t="s">
        <v>625</v>
      </c>
      <c r="AM706" s="56">
        <f>'[2]Изложницы без бурта'!K706</f>
        <v>0</v>
      </c>
    </row>
    <row r="707" spans="28:39" x14ac:dyDescent="0.25">
      <c r="AB707" s="253" t="str">
        <f t="shared" si="27"/>
        <v/>
      </c>
      <c r="AC707" s="254" t="str">
        <f>IF(COUNTIF(AD$78:AD707,AD707)=1,MAX(AC$78:AC706)+1,"")</f>
        <v/>
      </c>
      <c r="AD707" s="215">
        <f>'[2]Изложницы без бурта'!B707</f>
        <v>237.5</v>
      </c>
      <c r="AE707" s="215">
        <f>'[2]Изложницы без бурта'!C707</f>
        <v>260</v>
      </c>
      <c r="AF707" s="56">
        <f>'[2]Изложницы без бурта'!D707</f>
        <v>360</v>
      </c>
      <c r="AG707" s="56">
        <f>'[2]Изложницы без бурта'!E707</f>
        <v>450</v>
      </c>
      <c r="AH707" s="56" t="str">
        <f>'[2]Изложницы без бурта'!F707</f>
        <v>72.11872 - 7</v>
      </c>
      <c r="AI707" s="56">
        <f>'[2]Изложницы без бурта'!G707</f>
        <v>0</v>
      </c>
      <c r="AJ707" s="56">
        <f>'[2]Изложницы без бурта'!H707</f>
        <v>0</v>
      </c>
      <c r="AK707" s="56">
        <f>'[2]Изложницы без бурта'!I707</f>
        <v>0</v>
      </c>
      <c r="AL707" s="56" t="s">
        <v>625</v>
      </c>
      <c r="AM707" s="56">
        <f>'[2]Изложницы без бурта'!K707</f>
        <v>0</v>
      </c>
    </row>
    <row r="708" spans="28:39" x14ac:dyDescent="0.25">
      <c r="AB708" s="253" t="str">
        <f t="shared" si="27"/>
        <v/>
      </c>
      <c r="AC708" s="254" t="str">
        <f>IF(COUNTIF(AD$78:AD708,AD708)=1,MAX(AC$78:AC707)+1,"")</f>
        <v/>
      </c>
      <c r="AD708" s="215">
        <f>'[2]Изложницы без бурта'!B708</f>
        <v>237.5</v>
      </c>
      <c r="AE708" s="215">
        <f>'[2]Изложницы без бурта'!C708</f>
        <v>323</v>
      </c>
      <c r="AF708" s="56">
        <f>'[2]Изложницы без бурта'!D708</f>
        <v>360</v>
      </c>
      <c r="AG708" s="56">
        <f>'[2]Изложницы без бурта'!E708</f>
        <v>450</v>
      </c>
      <c r="AH708" s="56" t="str">
        <f>'[2]Изложницы без бурта'!F708</f>
        <v>72.11873 - 7</v>
      </c>
      <c r="AI708" s="56">
        <f>'[2]Изложницы без бурта'!G708</f>
        <v>0</v>
      </c>
      <c r="AJ708" s="56">
        <f>'[2]Изложницы без бурта'!H708</f>
        <v>0</v>
      </c>
      <c r="AK708" s="56">
        <f>'[2]Изложницы без бурта'!I708</f>
        <v>0</v>
      </c>
      <c r="AL708" s="56" t="s">
        <v>625</v>
      </c>
      <c r="AM708" s="56">
        <f>'[2]Изложницы без бурта'!K708</f>
        <v>0</v>
      </c>
    </row>
    <row r="709" spans="28:39" x14ac:dyDescent="0.25">
      <c r="AB709" s="253" t="str">
        <f t="shared" si="27"/>
        <v/>
      </c>
      <c r="AC709" s="254" t="str">
        <f>IF(COUNTIF(AD$78:AD709,AD709)=1,MAX(AC$78:AC708)+1,"")</f>
        <v/>
      </c>
      <c r="AD709" s="215">
        <f>'[2]Изложницы без бурта'!B709</f>
        <v>237.5</v>
      </c>
      <c r="AE709" s="215">
        <f>'[2]Изложницы без бурта'!C709</f>
        <v>260</v>
      </c>
      <c r="AF709" s="56">
        <f>'[2]Изложницы без бурта'!D709</f>
        <v>360</v>
      </c>
      <c r="AG709" s="56">
        <f>'[2]Изложницы без бурта'!E709</f>
        <v>450</v>
      </c>
      <c r="AH709" s="56" t="str">
        <f>'[2]Изложницы без бурта'!F709</f>
        <v>72.11872 - 7</v>
      </c>
      <c r="AI709" s="56">
        <f>'[2]Изложницы без бурта'!G709</f>
        <v>0</v>
      </c>
      <c r="AJ709" s="56">
        <f>'[2]Изложницы без бурта'!H709</f>
        <v>0</v>
      </c>
      <c r="AK709" s="56">
        <f>'[2]Изложницы без бурта'!I709</f>
        <v>0</v>
      </c>
      <c r="AL709" s="56" t="s">
        <v>625</v>
      </c>
      <c r="AM709" s="56">
        <f>'[2]Изложницы без бурта'!K709</f>
        <v>0</v>
      </c>
    </row>
    <row r="710" spans="28:39" x14ac:dyDescent="0.25">
      <c r="AB710" s="253" t="str">
        <f t="shared" si="27"/>
        <v/>
      </c>
      <c r="AC710" s="254" t="str">
        <f>IF(COUNTIF(AD$78:AD710,AD710)=1,MAX(AC$78:AC709)+1,"")</f>
        <v/>
      </c>
      <c r="AD710" s="215">
        <f>'[2]Изложницы без бурта'!B710</f>
        <v>237.5</v>
      </c>
      <c r="AE710" s="215">
        <f>'[2]Изложницы без бурта'!C710</f>
        <v>320</v>
      </c>
      <c r="AF710" s="56">
        <f>'[2]Изложницы без бурта'!D710</f>
        <v>375</v>
      </c>
      <c r="AG710" s="56">
        <f>'[2]Изложницы без бурта'!E710</f>
        <v>450</v>
      </c>
      <c r="AH710" s="56" t="str">
        <f>'[2]Изложницы без бурта'!F710</f>
        <v>72.11873 - 7</v>
      </c>
      <c r="AI710" s="56">
        <f>'[2]Изложницы без бурта'!G710</f>
        <v>0</v>
      </c>
      <c r="AJ710" s="56">
        <f>'[2]Изложницы без бурта'!H710</f>
        <v>0</v>
      </c>
      <c r="AK710" s="56">
        <f>'[2]Изложницы без бурта'!I710</f>
        <v>0</v>
      </c>
      <c r="AL710" s="56" t="s">
        <v>625</v>
      </c>
      <c r="AM710" s="56">
        <f>'[2]Изложницы без бурта'!K710</f>
        <v>0</v>
      </c>
    </row>
    <row r="711" spans="28:39" x14ac:dyDescent="0.25">
      <c r="AB711" s="253" t="str">
        <f t="shared" si="27"/>
        <v/>
      </c>
      <c r="AC711" s="254" t="str">
        <f>IF(COUNTIF(AD$78:AD711,AD711)=1,MAX(AC$78:AC710)+1,"")</f>
        <v/>
      </c>
      <c r="AD711" s="215">
        <f>'[2]Изложницы без бурта'!B711</f>
        <v>237.5</v>
      </c>
      <c r="AE711" s="215">
        <f>'[2]Изложницы без бурта'!C711</f>
        <v>378</v>
      </c>
      <c r="AF711" s="56">
        <f>'[2]Изложницы без бурта'!D711</f>
        <v>360</v>
      </c>
      <c r="AG711" s="56">
        <f>'[2]Изложницы без бурта'!E711</f>
        <v>450</v>
      </c>
      <c r="AH711" s="56" t="str">
        <f>'[2]Изложницы без бурта'!F711</f>
        <v>72.11874 - 7</v>
      </c>
      <c r="AI711" s="56">
        <f>'[2]Изложницы без бурта'!G711</f>
        <v>0</v>
      </c>
      <c r="AJ711" s="56">
        <f>'[2]Изложницы без бурта'!H711</f>
        <v>0</v>
      </c>
      <c r="AK711" s="56">
        <f>'[2]Изложницы без бурта'!I711</f>
        <v>0</v>
      </c>
      <c r="AL711" s="56" t="s">
        <v>625</v>
      </c>
      <c r="AM711" s="56">
        <f>'[2]Изложницы без бурта'!K711</f>
        <v>0</v>
      </c>
    </row>
    <row r="712" spans="28:39" x14ac:dyDescent="0.25">
      <c r="AB712" s="253" t="str">
        <f t="shared" si="27"/>
        <v/>
      </c>
      <c r="AC712" s="254">
        <f>IF(COUNTIF(AD$78:AD712,AD712)=1,MAX(AC$78:AC711)+1,"")</f>
        <v>61</v>
      </c>
      <c r="AD712" s="215">
        <f>'[2]Изложницы без бурта'!B712</f>
        <v>240</v>
      </c>
      <c r="AE712" s="215">
        <f>'[2]Изложницы без бурта'!C712</f>
        <v>215</v>
      </c>
      <c r="AF712" s="56">
        <f>'[2]Изложницы без бурта'!D712</f>
        <v>375</v>
      </c>
      <c r="AG712" s="56">
        <f>'[2]Изложницы без бурта'!E712</f>
        <v>450</v>
      </c>
      <c r="AH712" s="56" t="str">
        <f>'[2]Изложницы без бурта'!F712</f>
        <v>10.247619 - 8</v>
      </c>
      <c r="AI712" s="56">
        <f>'[2]Изложницы без бурта'!G712</f>
        <v>0</v>
      </c>
      <c r="AJ712" s="56">
        <f>'[2]Изложницы без бурта'!H712</f>
        <v>0</v>
      </c>
      <c r="AK712" s="56">
        <f>'[2]Изложницы без бурта'!I712</f>
        <v>0</v>
      </c>
      <c r="AL712" s="56" t="s">
        <v>626</v>
      </c>
      <c r="AM712" s="56">
        <f>'[2]Изложницы без бурта'!K712</f>
        <v>0</v>
      </c>
    </row>
    <row r="713" spans="28:39" x14ac:dyDescent="0.25">
      <c r="AB713" s="253" t="str">
        <f t="shared" si="27"/>
        <v/>
      </c>
      <c r="AC713" s="254" t="str">
        <f>IF(COUNTIF(AD$78:AD713,AD713)=1,MAX(AC$78:AC712)+1,"")</f>
        <v/>
      </c>
      <c r="AD713" s="215">
        <f>'[2]Изложницы без бурта'!B713</f>
        <v>240</v>
      </c>
      <c r="AE713" s="215">
        <f>'[2]Изложницы без бурта'!C713</f>
        <v>500</v>
      </c>
      <c r="AF713" s="56">
        <f>'[2]Изложницы без бурта'!D713</f>
        <v>375</v>
      </c>
      <c r="AG713" s="56">
        <f>'[2]Изложницы без бурта'!E713</f>
        <v>400</v>
      </c>
      <c r="AH713" s="56" t="str">
        <f>'[2]Изложницы без бурта'!F713</f>
        <v>72.23398 - 8</v>
      </c>
      <c r="AI713" s="56">
        <f>'[2]Изложницы без бурта'!G713</f>
        <v>7260033</v>
      </c>
      <c r="AJ713" s="56">
        <f>'[2]Изложницы без бурта'!H713</f>
        <v>0</v>
      </c>
      <c r="AK713" s="56">
        <f>'[2]Изложницы без бурта'!I713</f>
        <v>0</v>
      </c>
      <c r="AL713" s="56" t="s">
        <v>626</v>
      </c>
      <c r="AM713" s="56">
        <f>'[2]Изложницы без бурта'!K713</f>
        <v>0</v>
      </c>
    </row>
    <row r="714" spans="28:39" x14ac:dyDescent="0.25">
      <c r="AB714" s="253" t="str">
        <f t="shared" si="27"/>
        <v/>
      </c>
      <c r="AC714" s="254" t="str">
        <f>IF(COUNTIF(AD$78:AD714,AD714)=1,MAX(AC$78:AC713)+1,"")</f>
        <v/>
      </c>
      <c r="AD714" s="215">
        <f>'[2]Изложницы без бурта'!B714</f>
        <v>240</v>
      </c>
      <c r="AE714" s="215">
        <f>'[2]Изложницы без бурта'!C714</f>
        <v>215</v>
      </c>
      <c r="AF714" s="56">
        <f>'[2]Изложницы без бурта'!D714</f>
        <v>375</v>
      </c>
      <c r="AG714" s="56">
        <f>'[2]Изложницы без бурта'!E714</f>
        <v>450</v>
      </c>
      <c r="AH714" s="56" t="str">
        <f>'[2]Изложницы без бурта'!F714</f>
        <v>10.247619 - 8</v>
      </c>
      <c r="AI714" s="56">
        <f>'[2]Изложницы без бурта'!G714</f>
        <v>0</v>
      </c>
      <c r="AJ714" s="56">
        <f>'[2]Изложницы без бурта'!H714</f>
        <v>0</v>
      </c>
      <c r="AK714" s="56">
        <f>'[2]Изложницы без бурта'!I714</f>
        <v>0</v>
      </c>
      <c r="AL714" s="56" t="s">
        <v>626</v>
      </c>
      <c r="AM714" s="56">
        <f>'[2]Изложницы без бурта'!K714</f>
        <v>0</v>
      </c>
    </row>
    <row r="715" spans="28:39" x14ac:dyDescent="0.25">
      <c r="AB715" s="253" t="str">
        <f t="shared" si="27"/>
        <v/>
      </c>
      <c r="AC715" s="254" t="str">
        <f>IF(COUNTIF(AD$78:AD715,AD715)=1,MAX(AC$78:AC714)+1,"")</f>
        <v/>
      </c>
      <c r="AD715" s="215">
        <f>'[2]Изложницы без бурта'!B715</f>
        <v>240</v>
      </c>
      <c r="AE715" s="215">
        <f>'[2]Изложницы без бурта'!C715</f>
        <v>215</v>
      </c>
      <c r="AF715" s="56">
        <f>'[2]Изложницы без бурта'!D715</f>
        <v>375</v>
      </c>
      <c r="AG715" s="56">
        <f>'[2]Изложницы без бурта'!E715</f>
        <v>450</v>
      </c>
      <c r="AH715" s="56" t="str">
        <f>'[2]Изложницы без бурта'!F715</f>
        <v>10.247619 - 8</v>
      </c>
      <c r="AI715" s="56">
        <f>'[2]Изложницы без бурта'!G715</f>
        <v>0</v>
      </c>
      <c r="AJ715" s="56">
        <f>'[2]Изложницы без бурта'!H715</f>
        <v>0</v>
      </c>
      <c r="AK715" s="56">
        <f>'[2]Изложницы без бурта'!I715</f>
        <v>0</v>
      </c>
      <c r="AL715" s="56" t="s">
        <v>626</v>
      </c>
      <c r="AM715" s="56">
        <f>'[2]Изложницы без бурта'!K715</f>
        <v>0</v>
      </c>
    </row>
    <row r="716" spans="28:39" x14ac:dyDescent="0.25">
      <c r="AB716" s="253" t="str">
        <f t="shared" si="27"/>
        <v/>
      </c>
      <c r="AC716" s="254" t="str">
        <f>IF(COUNTIF(AD$78:AD716,AD716)=1,MAX(AC$78:AC715)+1,"")</f>
        <v/>
      </c>
      <c r="AD716" s="215">
        <f>'[2]Изложницы без бурта'!B716</f>
        <v>240</v>
      </c>
      <c r="AE716" s="215">
        <f>'[2]Изложницы без бурта'!C716</f>
        <v>213</v>
      </c>
      <c r="AF716" s="56">
        <f>'[2]Изложницы без бурта'!D716</f>
        <v>375</v>
      </c>
      <c r="AG716" s="56">
        <f>'[2]Изложницы без бурта'!E716</f>
        <v>450</v>
      </c>
      <c r="AH716" s="56" t="str">
        <f>'[2]Изложницы без бурта'!F716</f>
        <v>10.247619 - 8</v>
      </c>
      <c r="AI716" s="56">
        <f>'[2]Изложницы без бурта'!G716</f>
        <v>0</v>
      </c>
      <c r="AJ716" s="56">
        <f>'[2]Изложницы без бурта'!H716</f>
        <v>0</v>
      </c>
      <c r="AK716" s="56">
        <f>'[2]Изложницы без бурта'!I716</f>
        <v>0</v>
      </c>
      <c r="AL716" s="56" t="s">
        <v>626</v>
      </c>
      <c r="AM716" s="56">
        <f>'[2]Изложницы без бурта'!K716</f>
        <v>0</v>
      </c>
    </row>
    <row r="717" spans="28:39" x14ac:dyDescent="0.25">
      <c r="AB717" s="253" t="str">
        <f t="shared" si="27"/>
        <v/>
      </c>
      <c r="AC717" s="254" t="str">
        <f>IF(COUNTIF(AD$78:AD717,AD717)=1,MAX(AC$78:AC716)+1,"")</f>
        <v/>
      </c>
      <c r="AD717" s="215">
        <f>'[2]Изложницы без бурта'!B717</f>
        <v>240</v>
      </c>
      <c r="AE717" s="215">
        <f>'[2]Изложницы без бурта'!C717</f>
        <v>318</v>
      </c>
      <c r="AF717" s="56">
        <f>'[2]Изложницы без бурта'!D717</f>
        <v>360</v>
      </c>
      <c r="AG717" s="56">
        <f>'[2]Изложницы без бурта'!E717</f>
        <v>450</v>
      </c>
      <c r="AH717" s="56" t="str">
        <f>'[2]Изложницы без бурта'!F717</f>
        <v>72.11873 - 8</v>
      </c>
      <c r="AI717" s="56">
        <f>'[2]Изложницы без бурта'!G717</f>
        <v>0</v>
      </c>
      <c r="AJ717" s="56">
        <f>'[2]Изложницы без бурта'!H717</f>
        <v>0</v>
      </c>
      <c r="AK717" s="56">
        <f>'[2]Изложницы без бурта'!I717</f>
        <v>0</v>
      </c>
      <c r="AL717" s="56" t="s">
        <v>626</v>
      </c>
      <c r="AM717" s="56">
        <f>'[2]Изложницы без бурта'!K717</f>
        <v>0</v>
      </c>
    </row>
    <row r="718" spans="28:39" x14ac:dyDescent="0.25">
      <c r="AB718" s="253" t="str">
        <f t="shared" si="27"/>
        <v/>
      </c>
      <c r="AC718" s="254" t="str">
        <f>IF(COUNTIF(AD$78:AD718,AD718)=1,MAX(AC$78:AC717)+1,"")</f>
        <v/>
      </c>
      <c r="AD718" s="215">
        <f>'[2]Изложницы без бурта'!B718</f>
        <v>240</v>
      </c>
      <c r="AE718" s="215">
        <f>'[2]Изложницы без бурта'!C718</f>
        <v>320</v>
      </c>
      <c r="AF718" s="56">
        <f>'[2]Изложницы без бурта'!D718</f>
        <v>360</v>
      </c>
      <c r="AG718" s="56">
        <f>'[2]Изложницы без бурта'!E718</f>
        <v>450</v>
      </c>
      <c r="AH718" s="56" t="str">
        <f>'[2]Изложницы без бурта'!F718</f>
        <v>72.11873 - 8</v>
      </c>
      <c r="AI718" s="56">
        <f>'[2]Изложницы без бурта'!G718</f>
        <v>0</v>
      </c>
      <c r="AJ718" s="56">
        <f>'[2]Изложницы без бурта'!H718</f>
        <v>0</v>
      </c>
      <c r="AK718" s="56">
        <f>'[2]Изложницы без бурта'!I718</f>
        <v>0</v>
      </c>
      <c r="AL718" s="56" t="s">
        <v>626</v>
      </c>
      <c r="AM718" s="56">
        <f>'[2]Изложницы без бурта'!K718</f>
        <v>0</v>
      </c>
    </row>
    <row r="719" spans="28:39" x14ac:dyDescent="0.25">
      <c r="AB719" s="253" t="str">
        <f t="shared" si="27"/>
        <v/>
      </c>
      <c r="AC719" s="254" t="str">
        <f>IF(COUNTIF(AD$78:AD719,AD719)=1,MAX(AC$78:AC718)+1,"")</f>
        <v/>
      </c>
      <c r="AD719" s="215">
        <f>'[2]Изложницы без бурта'!B719</f>
        <v>240</v>
      </c>
      <c r="AE719" s="215">
        <f>'[2]Изложницы без бурта'!C719</f>
        <v>315</v>
      </c>
      <c r="AF719" s="56">
        <f>'[2]Изложницы без бурта'!D719</f>
        <v>360</v>
      </c>
      <c r="AG719" s="56">
        <f>'[2]Изложницы без бурта'!E719</f>
        <v>450</v>
      </c>
      <c r="AH719" s="56" t="str">
        <f>'[2]Изложницы без бурта'!F719</f>
        <v>72.11873 - 8</v>
      </c>
      <c r="AI719" s="56">
        <f>'[2]Изложницы без бурта'!G719</f>
        <v>0</v>
      </c>
      <c r="AJ719" s="56">
        <f>'[2]Изложницы без бурта'!H719</f>
        <v>0</v>
      </c>
      <c r="AK719" s="56">
        <f>'[2]Изложницы без бурта'!I719</f>
        <v>0</v>
      </c>
      <c r="AL719" s="56" t="s">
        <v>626</v>
      </c>
      <c r="AM719" s="56">
        <f>'[2]Изложницы без бурта'!K719</f>
        <v>0</v>
      </c>
    </row>
    <row r="720" spans="28:39" x14ac:dyDescent="0.25">
      <c r="AB720" s="253" t="str">
        <f t="shared" si="27"/>
        <v/>
      </c>
      <c r="AC720" s="254" t="str">
        <f>IF(COUNTIF(AD$78:AD720,AD720)=1,MAX(AC$78:AC719)+1,"")</f>
        <v/>
      </c>
      <c r="AD720" s="215">
        <f>'[2]Изложницы без бурта'!B720</f>
        <v>240</v>
      </c>
      <c r="AE720" s="215">
        <f>'[2]Изложницы без бурта'!C720</f>
        <v>380</v>
      </c>
      <c r="AF720" s="56">
        <f>'[2]Изложницы без бурта'!D720</f>
        <v>360</v>
      </c>
      <c r="AG720" s="56">
        <f>'[2]Изложницы без бурта'!E720</f>
        <v>450</v>
      </c>
      <c r="AH720" s="56" t="str">
        <f>'[2]Изложницы без бурта'!F720</f>
        <v>72.11874 - 8</v>
      </c>
      <c r="AI720" s="56">
        <f>'[2]Изложницы без бурта'!G720</f>
        <v>0</v>
      </c>
      <c r="AJ720" s="56">
        <f>'[2]Изложницы без бурта'!H720</f>
        <v>0</v>
      </c>
      <c r="AK720" s="56">
        <f>'[2]Изложницы без бурта'!I720</f>
        <v>0</v>
      </c>
      <c r="AL720" s="56" t="s">
        <v>626</v>
      </c>
      <c r="AM720" s="56">
        <f>'[2]Изложницы без бурта'!K720</f>
        <v>0</v>
      </c>
    </row>
    <row r="721" spans="28:39" x14ac:dyDescent="0.25">
      <c r="AB721" s="253" t="str">
        <f t="shared" si="27"/>
        <v/>
      </c>
      <c r="AC721" s="254" t="str">
        <f>IF(COUNTIF(AD$78:AD721,AD721)=1,MAX(AC$78:AC720)+1,"")</f>
        <v/>
      </c>
      <c r="AD721" s="215">
        <f>'[2]Изложницы без бурта'!B721</f>
        <v>240</v>
      </c>
      <c r="AE721" s="215">
        <f>'[2]Изложницы без бурта'!C721</f>
        <v>320</v>
      </c>
      <c r="AF721" s="56">
        <f>'[2]Изложницы без бурта'!D721</f>
        <v>360</v>
      </c>
      <c r="AG721" s="56">
        <f>'[2]Изложницы без бурта'!E721</f>
        <v>450</v>
      </c>
      <c r="AH721" s="56" t="str">
        <f>'[2]Изложницы без бурта'!F721</f>
        <v>72.11873 - 8</v>
      </c>
      <c r="AI721" s="56">
        <f>'[2]Изложницы без бурта'!G721</f>
        <v>0</v>
      </c>
      <c r="AJ721" s="56">
        <f>'[2]Изложницы без бурта'!H721</f>
        <v>0</v>
      </c>
      <c r="AK721" s="56">
        <f>'[2]Изложницы без бурта'!I721</f>
        <v>0</v>
      </c>
      <c r="AL721" s="56" t="s">
        <v>626</v>
      </c>
      <c r="AM721" s="56">
        <f>'[2]Изложницы без бурта'!K721</f>
        <v>0</v>
      </c>
    </row>
    <row r="722" spans="28:39" x14ac:dyDescent="0.25">
      <c r="AB722" s="253" t="str">
        <f t="shared" si="27"/>
        <v/>
      </c>
      <c r="AC722" s="254" t="str">
        <f>IF(COUNTIF(AD$78:AD722,AD722)=1,MAX(AC$78:AC721)+1,"")</f>
        <v/>
      </c>
      <c r="AD722" s="215">
        <f>'[2]Изложницы без бурта'!B722</f>
        <v>240</v>
      </c>
      <c r="AE722" s="215">
        <f>'[2]Изложницы без бурта'!C722</f>
        <v>320</v>
      </c>
      <c r="AF722" s="56">
        <f>'[2]Изложницы без бурта'!D722</f>
        <v>360</v>
      </c>
      <c r="AG722" s="56">
        <f>'[2]Изложницы без бурта'!E722</f>
        <v>450</v>
      </c>
      <c r="AH722" s="56" t="str">
        <f>'[2]Изложницы без бурта'!F722</f>
        <v>72.11873 - 8</v>
      </c>
      <c r="AI722" s="56">
        <f>'[2]Изложницы без бурта'!G722</f>
        <v>0</v>
      </c>
      <c r="AJ722" s="56">
        <f>'[2]Изложницы без бурта'!H722</f>
        <v>0</v>
      </c>
      <c r="AK722" s="56">
        <f>'[2]Изложницы без бурта'!I722</f>
        <v>0</v>
      </c>
      <c r="AL722" s="56" t="s">
        <v>626</v>
      </c>
      <c r="AM722" s="56">
        <f>'[2]Изложницы без бурта'!K722</f>
        <v>0</v>
      </c>
    </row>
    <row r="723" spans="28:39" x14ac:dyDescent="0.25">
      <c r="AB723" s="253" t="str">
        <f t="shared" si="27"/>
        <v/>
      </c>
      <c r="AC723" s="254">
        <f>IF(COUNTIF(AD$78:AD723,AD723)=1,MAX(AC$78:AC722)+1,"")</f>
        <v>62</v>
      </c>
      <c r="AD723" s="215">
        <f>'[2]Изложницы без бурта'!B723</f>
        <v>242.5</v>
      </c>
      <c r="AE723" s="215">
        <f>'[2]Изложницы без бурта'!C723</f>
        <v>377</v>
      </c>
      <c r="AF723" s="56">
        <f>'[2]Изложницы без бурта'!D723</f>
        <v>375</v>
      </c>
      <c r="AG723" s="56">
        <f>'[2]Изложницы без бурта'!E723</f>
        <v>450</v>
      </c>
      <c r="AH723" s="56" t="str">
        <f>'[2]Изложницы без бурта'!F723</f>
        <v>72.11874 - 9</v>
      </c>
      <c r="AI723" s="56">
        <f>'[2]Изложницы без бурта'!G723</f>
        <v>0</v>
      </c>
      <c r="AJ723" s="56">
        <f>'[2]Изложницы без бурта'!H723</f>
        <v>0</v>
      </c>
      <c r="AK723" s="56">
        <f>'[2]Изложницы без бурта'!I723</f>
        <v>0</v>
      </c>
      <c r="AL723" s="56" t="s">
        <v>627</v>
      </c>
      <c r="AM723" s="56">
        <f>'[2]Изложницы без бурта'!K723</f>
        <v>0</v>
      </c>
    </row>
    <row r="724" spans="28:39" x14ac:dyDescent="0.25">
      <c r="AB724" s="253" t="str">
        <f t="shared" si="27"/>
        <v/>
      </c>
      <c r="AC724" s="254">
        <f>IF(COUNTIF(AD$78:AD724,AD724)=1,MAX(AC$78:AC723)+1,"")</f>
        <v>63</v>
      </c>
      <c r="AD724" s="215">
        <f>'[2]Изложницы без бурта'!B724</f>
        <v>245</v>
      </c>
      <c r="AE724" s="215">
        <f>'[2]Изложницы без бурта'!C724</f>
        <v>497</v>
      </c>
      <c r="AF724" s="56">
        <f>'[2]Изложницы без бурта'!D724</f>
        <v>360</v>
      </c>
      <c r="AG724" s="56">
        <f>'[2]Изложницы без бурта'!E724</f>
        <v>400</v>
      </c>
      <c r="AH724" s="56" t="str">
        <f>'[2]Изложницы без бурта'!F724</f>
        <v>72.23398 - 10</v>
      </c>
      <c r="AI724" s="56">
        <f>'[2]Изложницы без бурта'!G724</f>
        <v>0</v>
      </c>
      <c r="AJ724" s="56">
        <f>'[2]Изложницы без бурта'!H724</f>
        <v>0</v>
      </c>
      <c r="AK724" s="56">
        <f>'[2]Изложницы без бурта'!I724</f>
        <v>0</v>
      </c>
      <c r="AL724" s="56" t="s">
        <v>628</v>
      </c>
      <c r="AM724" s="56">
        <f>'[2]Изложницы без бурта'!K724</f>
        <v>0</v>
      </c>
    </row>
    <row r="725" spans="28:39" x14ac:dyDescent="0.25">
      <c r="AB725" s="253" t="str">
        <f t="shared" si="27"/>
        <v/>
      </c>
      <c r="AC725" s="254" t="str">
        <f>IF(COUNTIF(AD$78:AD725,AD725)=1,MAX(AC$78:AC724)+1,"")</f>
        <v/>
      </c>
      <c r="AD725" s="215">
        <f>'[2]Изложницы без бурта'!B725</f>
        <v>245</v>
      </c>
      <c r="AE725" s="215">
        <f>'[2]Изложницы без бурта'!C725</f>
        <v>500</v>
      </c>
      <c r="AF725" s="56">
        <f>'[2]Изложницы без бурта'!D725</f>
        <v>375</v>
      </c>
      <c r="AG725" s="56">
        <f>'[2]Изложницы без бурта'!E725</f>
        <v>450</v>
      </c>
      <c r="AH725" s="56" t="str">
        <f>'[2]Изложницы без бурта'!F725</f>
        <v>72.23398 - 10</v>
      </c>
      <c r="AI725" s="56">
        <f>'[2]Изложницы без бурта'!G725</f>
        <v>0</v>
      </c>
      <c r="AJ725" s="56">
        <f>'[2]Изложницы без бурта'!H725</f>
        <v>0</v>
      </c>
      <c r="AK725" s="56">
        <f>'[2]Изложницы без бурта'!I725</f>
        <v>0</v>
      </c>
      <c r="AL725" s="56" t="s">
        <v>628</v>
      </c>
      <c r="AM725" s="56">
        <f>'[2]Изложницы без бурта'!K725</f>
        <v>0</v>
      </c>
    </row>
    <row r="726" spans="28:39" x14ac:dyDescent="0.25">
      <c r="AB726" s="253" t="str">
        <f t="shared" si="27"/>
        <v/>
      </c>
      <c r="AC726" s="254" t="str">
        <f>IF(COUNTIF(AD$78:AD726,AD726)=1,MAX(AC$78:AC725)+1,"")</f>
        <v/>
      </c>
      <c r="AD726" s="215">
        <f>'[2]Изложницы без бурта'!B726</f>
        <v>245</v>
      </c>
      <c r="AE726" s="215">
        <f>'[2]Изложницы без бурта'!C726</f>
        <v>260</v>
      </c>
      <c r="AF726" s="56">
        <f>'[2]Изложницы без бурта'!D726</f>
        <v>360</v>
      </c>
      <c r="AG726" s="56">
        <f>'[2]Изложницы без бурта'!E726</f>
        <v>450</v>
      </c>
      <c r="AH726" s="56" t="str">
        <f>'[2]Изложницы без бурта'!F726</f>
        <v>72.11872 - 10</v>
      </c>
      <c r="AI726" s="56">
        <f>'[2]Изложницы без бурта'!G726</f>
        <v>0</v>
      </c>
      <c r="AJ726" s="56">
        <f>'[2]Изложницы без бурта'!H726</f>
        <v>0</v>
      </c>
      <c r="AK726" s="56">
        <f>'[2]Изложницы без бурта'!I726</f>
        <v>0</v>
      </c>
      <c r="AL726" s="56" t="s">
        <v>628</v>
      </c>
      <c r="AM726" s="56">
        <f>'[2]Изложницы без бурта'!K726</f>
        <v>0</v>
      </c>
    </row>
    <row r="727" spans="28:39" x14ac:dyDescent="0.25">
      <c r="AB727" s="253" t="str">
        <f t="shared" si="27"/>
        <v/>
      </c>
      <c r="AC727" s="254" t="str">
        <f>IF(COUNTIF(AD$78:AD727,AD727)=1,MAX(AC$78:AC726)+1,"")</f>
        <v/>
      </c>
      <c r="AD727" s="215">
        <f>'[2]Изложницы без бурта'!B727</f>
        <v>245</v>
      </c>
      <c r="AE727" s="215">
        <f>'[2]Изложницы без бурта'!C727</f>
        <v>257</v>
      </c>
      <c r="AF727" s="56">
        <f>'[2]Изложницы без бурта'!D727</f>
        <v>360</v>
      </c>
      <c r="AG727" s="56">
        <f>'[2]Изложницы без бурта'!E727</f>
        <v>450</v>
      </c>
      <c r="AH727" s="56" t="str">
        <f>'[2]Изложницы без бурта'!F727</f>
        <v>72.11872 - 10</v>
      </c>
      <c r="AI727" s="56">
        <f>'[2]Изложницы без бурта'!G727</f>
        <v>0</v>
      </c>
      <c r="AJ727" s="56">
        <f>'[2]Изложницы без бурта'!H727</f>
        <v>0</v>
      </c>
      <c r="AK727" s="56">
        <f>'[2]Изложницы без бурта'!I727</f>
        <v>0</v>
      </c>
      <c r="AL727" s="56" t="s">
        <v>628</v>
      </c>
      <c r="AM727" s="56">
        <f>'[2]Изложницы без бурта'!K727</f>
        <v>0</v>
      </c>
    </row>
    <row r="728" spans="28:39" x14ac:dyDescent="0.25">
      <c r="AB728" s="253" t="str">
        <f t="shared" si="27"/>
        <v/>
      </c>
      <c r="AC728" s="254" t="str">
        <f>IF(COUNTIF(AD$78:AD728,AD728)=1,MAX(AC$78:AC727)+1,"")</f>
        <v/>
      </c>
      <c r="AD728" s="215">
        <f>'[2]Изложницы без бурта'!B728</f>
        <v>245</v>
      </c>
      <c r="AE728" s="215">
        <f>'[2]Изложницы без бурта'!C728</f>
        <v>257</v>
      </c>
      <c r="AF728" s="56">
        <f>'[2]Изложницы без бурта'!D728</f>
        <v>360</v>
      </c>
      <c r="AG728" s="56">
        <f>'[2]Изложницы без бурта'!E728</f>
        <v>450</v>
      </c>
      <c r="AH728" s="56" t="str">
        <f>'[2]Изложницы без бурта'!F728</f>
        <v>72.11872 - 10</v>
      </c>
      <c r="AI728" s="56">
        <f>'[2]Изложницы без бурта'!G728</f>
        <v>0</v>
      </c>
      <c r="AJ728" s="56">
        <f>'[2]Изложницы без бурта'!H728</f>
        <v>0</v>
      </c>
      <c r="AK728" s="56">
        <f>'[2]Изложницы без бурта'!I728</f>
        <v>0</v>
      </c>
      <c r="AL728" s="56" t="s">
        <v>628</v>
      </c>
      <c r="AM728" s="56">
        <f>'[2]Изложницы без бурта'!K728</f>
        <v>0</v>
      </c>
    </row>
    <row r="729" spans="28:39" x14ac:dyDescent="0.25">
      <c r="AB729" s="253" t="str">
        <f t="shared" si="27"/>
        <v/>
      </c>
      <c r="AC729" s="254" t="str">
        <f>IF(COUNTIF(AD$78:AD729,AD729)=1,MAX(AC$78:AC728)+1,"")</f>
        <v/>
      </c>
      <c r="AD729" s="215">
        <f>'[2]Изложницы без бурта'!B729</f>
        <v>245</v>
      </c>
      <c r="AE729" s="215">
        <f>'[2]Изложницы без бурта'!C729</f>
        <v>497</v>
      </c>
      <c r="AF729" s="56">
        <f>'[2]Изложницы без бурта'!D729</f>
        <v>360</v>
      </c>
      <c r="AG729" s="56">
        <f>'[2]Изложницы без бурта'!E729</f>
        <v>400</v>
      </c>
      <c r="AH729" s="56" t="str">
        <f>'[2]Изложницы без бурта'!F729</f>
        <v>72.23398 - 10</v>
      </c>
      <c r="AI729" s="56">
        <f>'[2]Изложницы без бурта'!G729</f>
        <v>0</v>
      </c>
      <c r="AJ729" s="56">
        <f>'[2]Изложницы без бурта'!H729</f>
        <v>0</v>
      </c>
      <c r="AK729" s="56">
        <f>'[2]Изложницы без бурта'!I729</f>
        <v>0</v>
      </c>
      <c r="AL729" s="56" t="s">
        <v>628</v>
      </c>
      <c r="AM729" s="56">
        <f>'[2]Изложницы без бурта'!K729</f>
        <v>0</v>
      </c>
    </row>
    <row r="730" spans="28:39" x14ac:dyDescent="0.25">
      <c r="AB730" s="253" t="str">
        <f t="shared" si="27"/>
        <v/>
      </c>
      <c r="AC730" s="254" t="str">
        <f>IF(COUNTIF(AD$78:AD730,AD730)=1,MAX(AC$78:AC729)+1,"")</f>
        <v/>
      </c>
      <c r="AD730" s="215">
        <f>'[2]Изложницы без бурта'!B730</f>
        <v>245</v>
      </c>
      <c r="AE730" s="215">
        <f>'[2]Изложницы без бурта'!C730</f>
        <v>257</v>
      </c>
      <c r="AF730" s="56">
        <f>'[2]Изложницы без бурта'!D730</f>
        <v>360</v>
      </c>
      <c r="AG730" s="56">
        <f>'[2]Изложницы без бурта'!E730</f>
        <v>450</v>
      </c>
      <c r="AH730" s="56" t="str">
        <f>'[2]Изложницы без бурта'!F730</f>
        <v>72.11872 - 10</v>
      </c>
      <c r="AI730" s="56">
        <f>'[2]Изложницы без бурта'!G730</f>
        <v>0</v>
      </c>
      <c r="AJ730" s="56">
        <f>'[2]Изложницы без бурта'!H730</f>
        <v>0</v>
      </c>
      <c r="AK730" s="56">
        <f>'[2]Изложницы без бурта'!I730</f>
        <v>0</v>
      </c>
      <c r="AL730" s="56" t="s">
        <v>628</v>
      </c>
      <c r="AM730" s="56">
        <f>'[2]Изложницы без бурта'!K730</f>
        <v>0</v>
      </c>
    </row>
    <row r="731" spans="28:39" x14ac:dyDescent="0.25">
      <c r="AB731" s="253" t="str">
        <f t="shared" si="27"/>
        <v/>
      </c>
      <c r="AC731" s="254" t="str">
        <f>IF(COUNTIF(AD$78:AD731,AD731)=1,MAX(AC$78:AC730)+1,"")</f>
        <v/>
      </c>
      <c r="AD731" s="215">
        <f>'[2]Изложницы без бурта'!B731</f>
        <v>245</v>
      </c>
      <c r="AE731" s="215">
        <f>'[2]Изложницы без бурта'!C731</f>
        <v>455</v>
      </c>
      <c r="AF731" s="56">
        <f>'[2]Изложницы без бурта'!D731</f>
        <v>360</v>
      </c>
      <c r="AG731" s="56">
        <f>'[2]Изложницы без бурта'!E731</f>
        <v>400</v>
      </c>
      <c r="AH731" s="56" t="str">
        <f>'[2]Изложницы без бурта'!F731</f>
        <v>72.48007 - 02</v>
      </c>
      <c r="AI731" s="56">
        <f>'[2]Изложницы без бурта'!G731</f>
        <v>7260034</v>
      </c>
      <c r="AJ731" s="56">
        <f>'[2]Изложницы без бурта'!H731</f>
        <v>0</v>
      </c>
      <c r="AK731" s="56">
        <f>'[2]Изложницы без бурта'!I731</f>
        <v>0</v>
      </c>
      <c r="AL731" s="56" t="s">
        <v>628</v>
      </c>
      <c r="AM731" s="56">
        <f>'[2]Изложницы без бурта'!K731</f>
        <v>0</v>
      </c>
    </row>
    <row r="732" spans="28:39" x14ac:dyDescent="0.25">
      <c r="AB732" s="253" t="str">
        <f t="shared" si="27"/>
        <v/>
      </c>
      <c r="AC732" s="254" t="str">
        <f>IF(COUNTIF(AD$78:AD732,AD732)=1,MAX(AC$78:AC731)+1,"")</f>
        <v/>
      </c>
      <c r="AD732" s="215">
        <f>'[2]Изложницы без бурта'!B732</f>
        <v>245</v>
      </c>
      <c r="AE732" s="215">
        <f>'[2]Изложницы без бурта'!C732</f>
        <v>500</v>
      </c>
      <c r="AF732" s="56">
        <f>'[2]Изложницы без бурта'!D732</f>
        <v>360</v>
      </c>
      <c r="AG732" s="56">
        <f>'[2]Изложницы без бурта'!E732</f>
        <v>400</v>
      </c>
      <c r="AH732" s="56" t="str">
        <f>'[2]Изложницы без бурта'!F732</f>
        <v>72.23398 - 10</v>
      </c>
      <c r="AI732" s="56">
        <f>'[2]Изложницы без бурта'!G732</f>
        <v>0</v>
      </c>
      <c r="AJ732" s="56">
        <f>'[2]Изложницы без бурта'!H732</f>
        <v>0</v>
      </c>
      <c r="AK732" s="56">
        <f>'[2]Изложницы без бурта'!I732</f>
        <v>0</v>
      </c>
      <c r="AL732" s="56" t="s">
        <v>628</v>
      </c>
      <c r="AM732" s="56">
        <f>'[2]Изложницы без бурта'!K732</f>
        <v>0</v>
      </c>
    </row>
    <row r="733" spans="28:39" x14ac:dyDescent="0.25">
      <c r="AB733" s="253" t="str">
        <f t="shared" si="27"/>
        <v/>
      </c>
      <c r="AC733" s="254" t="str">
        <f>IF(COUNTIF(AD$78:AD733,AD733)=1,MAX(AC$78:AC732)+1,"")</f>
        <v/>
      </c>
      <c r="AD733" s="215">
        <f>'[2]Изложницы без бурта'!B733</f>
        <v>245</v>
      </c>
      <c r="AE733" s="215">
        <f>'[2]Изложницы без бурта'!C733</f>
        <v>640</v>
      </c>
      <c r="AF733" s="56">
        <f>'[2]Изложницы без бурта'!D733</f>
        <v>320</v>
      </c>
      <c r="AG733" s="56">
        <f>'[2]Изложницы без бурта'!E733</f>
        <v>320</v>
      </c>
      <c r="AH733" s="56" t="str">
        <f>'[2]Изложницы без бурта'!F733</f>
        <v>б/.н - н</v>
      </c>
      <c r="AI733" s="56">
        <f>'[2]Изложницы без бурта'!G733</f>
        <v>0</v>
      </c>
      <c r="AJ733" s="56" t="str">
        <f>'[2]Изложницы без бурта'!H733</f>
        <v>НЕТ ТОЛКАТЕЛЯ</v>
      </c>
      <c r="AK733" s="56" t="str">
        <f>'[2]Изложницы без бурта'!I733</f>
        <v>На нижнекамск. ц/б на пл. уч.№2 (з/крышка из проката, кокиль гильзован, Øгильзы 290 мм)</v>
      </c>
      <c r="AL733" s="56" t="s">
        <v>629</v>
      </c>
      <c r="AM733" s="56">
        <f>'[2]Изложницы без бурта'!K733</f>
        <v>0</v>
      </c>
    </row>
    <row r="734" spans="28:39" x14ac:dyDescent="0.25">
      <c r="AB734" s="253" t="str">
        <f t="shared" si="27"/>
        <v/>
      </c>
      <c r="AC734" s="254">
        <f>IF(COUNTIF(AD$78:AD734,AD734)=1,MAX(AC$78:AC733)+1,"")</f>
        <v>64</v>
      </c>
      <c r="AD734" s="215">
        <f>'[2]Изложницы без бурта'!B734</f>
        <v>247.5</v>
      </c>
      <c r="AE734" s="215">
        <f>'[2]Изложницы без бурта'!C734</f>
        <v>505</v>
      </c>
      <c r="AF734" s="56">
        <f>'[2]Изложницы без бурта'!D734</f>
        <v>360</v>
      </c>
      <c r="AG734" s="56">
        <f>'[2]Изложницы без бурта'!E734</f>
        <v>450</v>
      </c>
      <c r="AH734" s="56" t="str">
        <f>'[2]Изложницы без бурта'!F734</f>
        <v>72.23398 - 11</v>
      </c>
      <c r="AI734" s="56">
        <f>'[2]Изложницы без бурта'!G734</f>
        <v>7260035</v>
      </c>
      <c r="AJ734" s="56">
        <f>'[2]Изложницы без бурта'!H734</f>
        <v>0</v>
      </c>
      <c r="AK734" s="56">
        <f>'[2]Изложницы без бурта'!I734</f>
        <v>0</v>
      </c>
      <c r="AL734" s="56" t="s">
        <v>630</v>
      </c>
      <c r="AM734" s="56">
        <f>'[2]Изложницы без бурта'!K734</f>
        <v>0</v>
      </c>
    </row>
    <row r="735" spans="28:39" x14ac:dyDescent="0.25">
      <c r="AB735" s="253" t="str">
        <f t="shared" si="27"/>
        <v/>
      </c>
      <c r="AC735" s="254" t="str">
        <f>IF(COUNTIF(AD$78:AD735,AD735)=1,MAX(AC$78:AC734)+1,"")</f>
        <v/>
      </c>
      <c r="AD735" s="215">
        <f>'[2]Изложницы без бурта'!B735</f>
        <v>247.5</v>
      </c>
      <c r="AE735" s="215">
        <f>'[2]Изложницы без бурта'!C735</f>
        <v>260</v>
      </c>
      <c r="AF735" s="56">
        <f>'[2]Изложницы без бурта'!D735</f>
        <v>360</v>
      </c>
      <c r="AG735" s="56">
        <f>'[2]Изложницы без бурта'!E735</f>
        <v>450</v>
      </c>
      <c r="AH735" s="56" t="str">
        <f>'[2]Изложницы без бурта'!F735</f>
        <v>72.11872 - 11</v>
      </c>
      <c r="AI735" s="56">
        <f>'[2]Изложницы без бурта'!G735</f>
        <v>0</v>
      </c>
      <c r="AJ735" s="56">
        <f>'[2]Изложницы без бурта'!H735</f>
        <v>0</v>
      </c>
      <c r="AK735" s="56">
        <f>'[2]Изложницы без бурта'!I735</f>
        <v>0</v>
      </c>
      <c r="AL735" s="56" t="s">
        <v>630</v>
      </c>
      <c r="AM735" s="56">
        <f>'[2]Изложницы без бурта'!K735</f>
        <v>0</v>
      </c>
    </row>
    <row r="736" spans="28:39" x14ac:dyDescent="0.25">
      <c r="AB736" s="253" t="str">
        <f t="shared" si="27"/>
        <v/>
      </c>
      <c r="AC736" s="254" t="str">
        <f>IF(COUNTIF(AD$78:AD736,AD736)=1,MAX(AC$78:AC735)+1,"")</f>
        <v/>
      </c>
      <c r="AD736" s="215">
        <f>'[2]Изложницы без бурта'!B736</f>
        <v>247.5</v>
      </c>
      <c r="AE736" s="215">
        <f>'[2]Изложницы без бурта'!C736</f>
        <v>320</v>
      </c>
      <c r="AF736" s="56">
        <f>'[2]Изложницы без бурта'!D736</f>
        <v>375</v>
      </c>
      <c r="AG736" s="56">
        <f>'[2]Изложницы без бурта'!E736</f>
        <v>450</v>
      </c>
      <c r="AH736" s="56" t="str">
        <f>'[2]Изложницы без бурта'!F736</f>
        <v>72.11873 - 11</v>
      </c>
      <c r="AI736" s="56">
        <f>'[2]Изложницы без бурта'!G736</f>
        <v>0</v>
      </c>
      <c r="AJ736" s="56">
        <f>'[2]Изложницы без бурта'!H736</f>
        <v>0</v>
      </c>
      <c r="AK736" s="56">
        <f>'[2]Изложницы без бурта'!I736</f>
        <v>0</v>
      </c>
      <c r="AL736" s="56" t="s">
        <v>630</v>
      </c>
      <c r="AM736" s="56">
        <f>'[2]Изложницы без бурта'!K736</f>
        <v>0</v>
      </c>
    </row>
    <row r="737" spans="28:39" x14ac:dyDescent="0.25">
      <c r="AB737" s="253" t="str">
        <f t="shared" si="27"/>
        <v/>
      </c>
      <c r="AC737" s="254">
        <f>IF(COUNTIF(AD$78:AD737,AD737)=1,MAX(AC$78:AC736)+1,"")</f>
        <v>65</v>
      </c>
      <c r="AD737" s="215">
        <f>'[2]Изложницы без бурта'!B737</f>
        <v>250</v>
      </c>
      <c r="AE737" s="215">
        <f>'[2]Изложницы без бурта'!C737</f>
        <v>318</v>
      </c>
      <c r="AF737" s="56">
        <f>'[2]Изложницы без бурта'!D737</f>
        <v>360</v>
      </c>
      <c r="AG737" s="56">
        <f>'[2]Изложницы без бурта'!E737</f>
        <v>450</v>
      </c>
      <c r="AH737" s="56" t="str">
        <f>'[2]Изложницы без бурта'!F737</f>
        <v>72.11873 - 12</v>
      </c>
      <c r="AI737" s="56">
        <f>'[2]Изложницы без бурта'!G737</f>
        <v>0</v>
      </c>
      <c r="AJ737" s="56">
        <f>'[2]Изложницы без бурта'!H737</f>
        <v>0</v>
      </c>
      <c r="AK737" s="56">
        <f>'[2]Изложницы без бурта'!I737</f>
        <v>0</v>
      </c>
      <c r="AL737" s="56" t="s">
        <v>631</v>
      </c>
      <c r="AM737" s="56">
        <f>'[2]Изложницы без бурта'!K737</f>
        <v>0</v>
      </c>
    </row>
    <row r="738" spans="28:39" x14ac:dyDescent="0.25">
      <c r="AB738" s="253" t="str">
        <f t="shared" si="27"/>
        <v/>
      </c>
      <c r="AC738" s="254" t="str">
        <f>IF(COUNTIF(AD$78:AD738,AD738)=1,MAX(AC$78:AC737)+1,"")</f>
        <v/>
      </c>
      <c r="AD738" s="215">
        <f>'[2]Изложницы без бурта'!B738</f>
        <v>250</v>
      </c>
      <c r="AE738" s="215">
        <f>'[2]Изложницы без бурта'!C738</f>
        <v>257</v>
      </c>
      <c r="AF738" s="56">
        <f>'[2]Изложницы без бурта'!D738</f>
        <v>360</v>
      </c>
      <c r="AG738" s="56">
        <f>'[2]Изложницы без бурта'!E738</f>
        <v>450</v>
      </c>
      <c r="AH738" s="56" t="str">
        <f>'[2]Изложницы без бурта'!F738</f>
        <v>72.11872 - 12</v>
      </c>
      <c r="AI738" s="56">
        <f>'[2]Изложницы без бурта'!G738</f>
        <v>0</v>
      </c>
      <c r="AJ738" s="56">
        <f>'[2]Изложницы без бурта'!H738</f>
        <v>0</v>
      </c>
      <c r="AK738" s="56">
        <f>'[2]Изложницы без бурта'!I738</f>
        <v>0</v>
      </c>
      <c r="AL738" s="56" t="s">
        <v>631</v>
      </c>
      <c r="AM738" s="56">
        <f>'[2]Изложницы без бурта'!K738</f>
        <v>0</v>
      </c>
    </row>
    <row r="739" spans="28:39" x14ac:dyDescent="0.25">
      <c r="AB739" s="253" t="str">
        <f t="shared" si="27"/>
        <v/>
      </c>
      <c r="AC739" s="254" t="str">
        <f>IF(COUNTIF(AD$78:AD739,AD739)=1,MAX(AC$78:AC738)+1,"")</f>
        <v/>
      </c>
      <c r="AD739" s="215">
        <f>'[2]Изложницы без бурта'!B739</f>
        <v>250</v>
      </c>
      <c r="AE739" s="215">
        <f>'[2]Изложницы без бурта'!C739</f>
        <v>257</v>
      </c>
      <c r="AF739" s="56">
        <f>'[2]Изложницы без бурта'!D739</f>
        <v>375</v>
      </c>
      <c r="AG739" s="56">
        <f>'[2]Изложницы без бурта'!E739</f>
        <v>450</v>
      </c>
      <c r="AH739" s="56" t="str">
        <f>'[2]Изложницы без бурта'!F739</f>
        <v>72.11872 - 12</v>
      </c>
      <c r="AI739" s="56">
        <f>'[2]Изложницы без бурта'!G739</f>
        <v>0</v>
      </c>
      <c r="AJ739" s="56">
        <f>'[2]Изложницы без бурта'!H739</f>
        <v>0</v>
      </c>
      <c r="AK739" s="56">
        <f>'[2]Изложницы без бурта'!I739</f>
        <v>0</v>
      </c>
      <c r="AL739" s="56" t="s">
        <v>631</v>
      </c>
      <c r="AM739" s="56">
        <f>'[2]Изложницы без бурта'!K739</f>
        <v>0</v>
      </c>
    </row>
    <row r="740" spans="28:39" x14ac:dyDescent="0.25">
      <c r="AB740" s="253" t="str">
        <f t="shared" si="27"/>
        <v/>
      </c>
      <c r="AC740" s="254" t="str">
        <f>IF(COUNTIF(AD$78:AD740,AD740)=1,MAX(AC$78:AC739)+1,"")</f>
        <v/>
      </c>
      <c r="AD740" s="215">
        <f>'[2]Изложницы без бурта'!B740</f>
        <v>250</v>
      </c>
      <c r="AE740" s="215">
        <f>'[2]Изложницы без бурта'!C740</f>
        <v>375</v>
      </c>
      <c r="AF740" s="56">
        <f>'[2]Изложницы без бурта'!D740</f>
        <v>360</v>
      </c>
      <c r="AG740" s="56">
        <f>'[2]Изложницы без бурта'!E740</f>
        <v>450</v>
      </c>
      <c r="AH740" s="56" t="str">
        <f>'[2]Изложницы без бурта'!F740</f>
        <v>72.11874 - 12</v>
      </c>
      <c r="AI740" s="56">
        <f>'[2]Изложницы без бурта'!G740</f>
        <v>0</v>
      </c>
      <c r="AJ740" s="56">
        <f>'[2]Изложницы без бурта'!H740</f>
        <v>0</v>
      </c>
      <c r="AK740" s="56">
        <f>'[2]Изложницы без бурта'!I740</f>
        <v>0</v>
      </c>
      <c r="AL740" s="56" t="s">
        <v>631</v>
      </c>
      <c r="AM740" s="56">
        <f>'[2]Изложницы без бурта'!K740</f>
        <v>0</v>
      </c>
    </row>
    <row r="741" spans="28:39" x14ac:dyDescent="0.25">
      <c r="AB741" s="253" t="str">
        <f t="shared" si="27"/>
        <v/>
      </c>
      <c r="AC741" s="254" t="str">
        <f>IF(COUNTIF(AD$78:AD741,AD741)=1,MAX(AC$78:AC740)+1,"")</f>
        <v/>
      </c>
      <c r="AD741" s="215">
        <f>'[2]Изложницы без бурта'!B741</f>
        <v>250</v>
      </c>
      <c r="AE741" s="215">
        <f>'[2]Изложницы без бурта'!C741</f>
        <v>320</v>
      </c>
      <c r="AF741" s="56">
        <f>'[2]Изложницы без бурта'!D741</f>
        <v>360</v>
      </c>
      <c r="AG741" s="56">
        <f>'[2]Изложницы без бурта'!E741</f>
        <v>450</v>
      </c>
      <c r="AH741" s="56" t="str">
        <f>'[2]Изложницы без бурта'!F741</f>
        <v>72.11873 - 12</v>
      </c>
      <c r="AI741" s="56">
        <f>'[2]Изложницы без бурта'!G741</f>
        <v>0</v>
      </c>
      <c r="AJ741" s="56">
        <f>'[2]Изложницы без бурта'!H741</f>
        <v>0</v>
      </c>
      <c r="AK741" s="56">
        <f>'[2]Изложницы без бурта'!I741</f>
        <v>0</v>
      </c>
      <c r="AL741" s="56" t="s">
        <v>631</v>
      </c>
      <c r="AM741" s="56">
        <f>'[2]Изложницы без бурта'!K741</f>
        <v>0</v>
      </c>
    </row>
    <row r="742" spans="28:39" x14ac:dyDescent="0.25">
      <c r="AB742" s="253" t="str">
        <f t="shared" si="27"/>
        <v/>
      </c>
      <c r="AC742" s="254" t="str">
        <f>IF(COUNTIF(AD$78:AD742,AD742)=1,MAX(AC$78:AC741)+1,"")</f>
        <v/>
      </c>
      <c r="AD742" s="215">
        <f>'[2]Изложницы без бурта'!B742</f>
        <v>250</v>
      </c>
      <c r="AE742" s="215">
        <f>'[2]Изложницы без бурта'!C742</f>
        <v>497</v>
      </c>
      <c r="AF742" s="56">
        <f>'[2]Изложницы без бурта'!D742</f>
        <v>360</v>
      </c>
      <c r="AG742" s="56">
        <f>'[2]Изложницы без бурта'!E742</f>
        <v>450</v>
      </c>
      <c r="AH742" s="56" t="str">
        <f>'[2]Изложницы без бурта'!F742</f>
        <v>72.23398 - 12</v>
      </c>
      <c r="AI742" s="56">
        <f>'[2]Изложницы без бурта'!G742</f>
        <v>0</v>
      </c>
      <c r="AJ742" s="56">
        <f>'[2]Изложницы без бурта'!H742</f>
        <v>0</v>
      </c>
      <c r="AK742" s="56">
        <f>'[2]Изложницы без бурта'!I742</f>
        <v>0</v>
      </c>
      <c r="AL742" s="56" t="s">
        <v>631</v>
      </c>
      <c r="AM742" s="56">
        <f>'[2]Изложницы без бурта'!K742</f>
        <v>0</v>
      </c>
    </row>
    <row r="743" spans="28:39" x14ac:dyDescent="0.25">
      <c r="AB743" s="253" t="str">
        <f t="shared" si="27"/>
        <v/>
      </c>
      <c r="AC743" s="254" t="str">
        <f>IF(COUNTIF(AD$78:AD743,AD743)=1,MAX(AC$78:AC742)+1,"")</f>
        <v/>
      </c>
      <c r="AD743" s="215">
        <f>'[2]Изложницы без бурта'!B743</f>
        <v>250</v>
      </c>
      <c r="AE743" s="215">
        <f>'[2]Изложницы без бурта'!C743</f>
        <v>260</v>
      </c>
      <c r="AF743" s="56">
        <f>'[2]Изложницы без бурта'!D743</f>
        <v>360</v>
      </c>
      <c r="AG743" s="56">
        <f>'[2]Изложницы без бурта'!E743</f>
        <v>450</v>
      </c>
      <c r="AH743" s="56" t="str">
        <f>'[2]Изложницы без бурта'!F743</f>
        <v>72.11872 - 12</v>
      </c>
      <c r="AI743" s="56">
        <f>'[2]Изложницы без бурта'!G743</f>
        <v>0</v>
      </c>
      <c r="AJ743" s="56">
        <f>'[2]Изложницы без бурта'!H743</f>
        <v>0</v>
      </c>
      <c r="AK743" s="56">
        <f>'[2]Изложницы без бурта'!I743</f>
        <v>0</v>
      </c>
      <c r="AL743" s="56" t="s">
        <v>631</v>
      </c>
      <c r="AM743" s="56">
        <f>'[2]Изложницы без бурта'!K743</f>
        <v>0</v>
      </c>
    </row>
    <row r="744" spans="28:39" x14ac:dyDescent="0.25">
      <c r="AB744" s="253" t="str">
        <f t="shared" si="27"/>
        <v/>
      </c>
      <c r="AC744" s="254" t="str">
        <f>IF(COUNTIF(AD$78:AD744,AD744)=1,MAX(AC$78:AC743)+1,"")</f>
        <v/>
      </c>
      <c r="AD744" s="215">
        <f>'[2]Изложницы без бурта'!B744</f>
        <v>250</v>
      </c>
      <c r="AE744" s="215">
        <f>'[2]Изложницы без бурта'!C744</f>
        <v>1130</v>
      </c>
      <c r="AF744" s="56">
        <f>'[2]Изложницы без бурта'!D744</f>
        <v>336</v>
      </c>
      <c r="AG744" s="56">
        <f>'[2]Изложницы без бурта'!E744</f>
        <v>300</v>
      </c>
      <c r="AH744" s="56" t="str">
        <f>'[2]Изложницы без бурта'!F744</f>
        <v>34.20230202-001</v>
      </c>
      <c r="AI744" s="56">
        <f>'[2]Изложницы без бурта'!G744</f>
        <v>0</v>
      </c>
      <c r="AJ744" s="56" t="str">
        <f>'[2]Изложницы без бурта'!H744</f>
        <v>ЕСТЬ заливочная крышка ф150</v>
      </c>
      <c r="AK744" s="56">
        <f>'[2]Изложницы без бурта'!I744</f>
        <v>0</v>
      </c>
      <c r="AL744" s="56" t="s">
        <v>629</v>
      </c>
      <c r="AM744" s="56">
        <f>'[2]Изложницы без бурта'!K744</f>
        <v>0</v>
      </c>
    </row>
    <row r="745" spans="28:39" x14ac:dyDescent="0.25">
      <c r="AB745" s="253" t="str">
        <f t="shared" si="27"/>
        <v/>
      </c>
      <c r="AC745" s="254">
        <f>IF(COUNTIF(AD$78:AD745,AD745)=1,MAX(AC$78:AC744)+1,"")</f>
        <v>66</v>
      </c>
      <c r="AD745" s="215">
        <f>'[2]Изложницы без бурта'!B745</f>
        <v>252.5</v>
      </c>
      <c r="AE745" s="215">
        <f>'[2]Изложницы без бурта'!C745</f>
        <v>378</v>
      </c>
      <c r="AF745" s="56">
        <f>'[2]Изложницы без бурта'!D745</f>
        <v>360</v>
      </c>
      <c r="AG745" s="56">
        <f>'[2]Изложницы без бурта'!E745</f>
        <v>450</v>
      </c>
      <c r="AH745" s="56" t="str">
        <f>'[2]Изложницы без бурта'!F745</f>
        <v>72.11874 - 13</v>
      </c>
      <c r="AI745" s="56">
        <f>'[2]Изложницы без бурта'!G745</f>
        <v>0</v>
      </c>
      <c r="AJ745" s="56">
        <f>'[2]Изложницы без бурта'!H745</f>
        <v>0</v>
      </c>
      <c r="AK745" s="56">
        <f>'[2]Изложницы без бурта'!I745</f>
        <v>0</v>
      </c>
      <c r="AL745" s="56" t="s">
        <v>632</v>
      </c>
      <c r="AM745" s="56">
        <f>'[2]Изложницы без бурта'!K745</f>
        <v>0</v>
      </c>
    </row>
    <row r="746" spans="28:39" x14ac:dyDescent="0.25">
      <c r="AB746" s="253" t="str">
        <f t="shared" si="27"/>
        <v/>
      </c>
      <c r="AC746" s="254" t="str">
        <f>IF(COUNTIF(AD$78:AD746,AD746)=1,MAX(AC$78:AC745)+1,"")</f>
        <v/>
      </c>
      <c r="AD746" s="215">
        <f>'[2]Изложницы без бурта'!B746</f>
        <v>252.5</v>
      </c>
      <c r="AE746" s="215">
        <f>'[2]Изложницы без бурта'!C746</f>
        <v>260</v>
      </c>
      <c r="AF746" s="56">
        <f>'[2]Изложницы без бурта'!D746</f>
        <v>360</v>
      </c>
      <c r="AG746" s="56">
        <f>'[2]Изложницы без бурта'!E746</f>
        <v>450</v>
      </c>
      <c r="AH746" s="56" t="str">
        <f>'[2]Изложницы без бурта'!F746</f>
        <v>72.11872 - 13</v>
      </c>
      <c r="AI746" s="56">
        <f>'[2]Изложницы без бурта'!G746</f>
        <v>0</v>
      </c>
      <c r="AJ746" s="56">
        <f>'[2]Изложницы без бурта'!H746</f>
        <v>0</v>
      </c>
      <c r="AK746" s="56">
        <f>'[2]Изложницы без бурта'!I746</f>
        <v>0</v>
      </c>
      <c r="AL746" s="56" t="s">
        <v>632</v>
      </c>
      <c r="AM746" s="56">
        <f>'[2]Изложницы без бурта'!K746</f>
        <v>0</v>
      </c>
    </row>
    <row r="747" spans="28:39" x14ac:dyDescent="0.25">
      <c r="AB747" s="253" t="str">
        <f t="shared" si="27"/>
        <v/>
      </c>
      <c r="AC747" s="254" t="str">
        <f>IF(COUNTIF(AD$78:AD747,AD747)=1,MAX(AC$78:AC746)+1,"")</f>
        <v/>
      </c>
      <c r="AD747" s="215">
        <f>'[2]Изложницы без бурта'!B747</f>
        <v>252.5</v>
      </c>
      <c r="AE747" s="215">
        <f>'[2]Изложницы без бурта'!C747</f>
        <v>260</v>
      </c>
      <c r="AF747" s="56">
        <f>'[2]Изложницы без бурта'!D747</f>
        <v>360</v>
      </c>
      <c r="AG747" s="56">
        <f>'[2]Изложницы без бурта'!E747</f>
        <v>450</v>
      </c>
      <c r="AH747" s="56" t="str">
        <f>'[2]Изложницы без бурта'!F747</f>
        <v>72.11872 - 13</v>
      </c>
      <c r="AI747" s="56">
        <f>'[2]Изложницы без бурта'!G747</f>
        <v>0</v>
      </c>
      <c r="AJ747" s="56">
        <f>'[2]Изложницы без бурта'!H747</f>
        <v>0</v>
      </c>
      <c r="AK747" s="56">
        <f>'[2]Изложницы без бурта'!I747</f>
        <v>0</v>
      </c>
      <c r="AL747" s="56" t="s">
        <v>632</v>
      </c>
      <c r="AM747" s="56">
        <f>'[2]Изложницы без бурта'!K747</f>
        <v>0</v>
      </c>
    </row>
    <row r="748" spans="28:39" x14ac:dyDescent="0.25">
      <c r="AB748" s="253" t="str">
        <f t="shared" si="27"/>
        <v/>
      </c>
      <c r="AC748" s="254" t="str">
        <f>IF(COUNTIF(AD$78:AD748,AD748)=1,MAX(AC$78:AC747)+1,"")</f>
        <v/>
      </c>
      <c r="AD748" s="215">
        <f>'[2]Изложницы без бурта'!B748</f>
        <v>252.5</v>
      </c>
      <c r="AE748" s="215">
        <f>'[2]Изложницы без бурта'!C748</f>
        <v>260</v>
      </c>
      <c r="AF748" s="56">
        <f>'[2]Изложницы без бурта'!D748</f>
        <v>360</v>
      </c>
      <c r="AG748" s="56">
        <f>'[2]Изложницы без бурта'!E748</f>
        <v>450</v>
      </c>
      <c r="AH748" s="56" t="str">
        <f>'[2]Изложницы без бурта'!F748</f>
        <v>72.11872 - 13</v>
      </c>
      <c r="AI748" s="56">
        <f>'[2]Изложницы без бурта'!G748</f>
        <v>0</v>
      </c>
      <c r="AJ748" s="56">
        <f>'[2]Изложницы без бурта'!H748</f>
        <v>0</v>
      </c>
      <c r="AK748" s="56">
        <f>'[2]Изложницы без бурта'!I748</f>
        <v>0</v>
      </c>
      <c r="AL748" s="56" t="s">
        <v>632</v>
      </c>
      <c r="AM748" s="56">
        <f>'[2]Изложницы без бурта'!K748</f>
        <v>0</v>
      </c>
    </row>
    <row r="749" spans="28:39" x14ac:dyDescent="0.25">
      <c r="AB749" s="253" t="str">
        <f t="shared" si="27"/>
        <v/>
      </c>
      <c r="AC749" s="254" t="str">
        <f>IF(COUNTIF(AD$78:AD749,AD749)=1,MAX(AC$78:AC748)+1,"")</f>
        <v/>
      </c>
      <c r="AD749" s="215">
        <f>'[2]Изложницы без бурта'!B749</f>
        <v>252.5</v>
      </c>
      <c r="AE749" s="215">
        <f>'[2]Изложницы без бурта'!C749</f>
        <v>497</v>
      </c>
      <c r="AF749" s="56">
        <f>'[2]Изложницы без бурта'!D749</f>
        <v>375</v>
      </c>
      <c r="AG749" s="56">
        <f>'[2]Изложницы без бурта'!E749</f>
        <v>400</v>
      </c>
      <c r="AH749" s="56" t="str">
        <f>'[2]Изложницы без бурта'!F749</f>
        <v>72.23398 - 13</v>
      </c>
      <c r="AI749" s="56">
        <f>'[2]Изложницы без бурта'!G749</f>
        <v>7260036</v>
      </c>
      <c r="AJ749" s="56">
        <f>'[2]Изложницы без бурта'!H749</f>
        <v>0</v>
      </c>
      <c r="AK749" s="56">
        <f>'[2]Изложницы без бурта'!I749</f>
        <v>0</v>
      </c>
      <c r="AL749" s="56" t="s">
        <v>632</v>
      </c>
      <c r="AM749" s="56">
        <f>'[2]Изложницы без бурта'!K749</f>
        <v>0</v>
      </c>
    </row>
    <row r="750" spans="28:39" x14ac:dyDescent="0.25">
      <c r="AB750" s="253" t="str">
        <f t="shared" si="27"/>
        <v/>
      </c>
      <c r="AC750" s="254" t="str">
        <f>IF(COUNTIF(AD$78:AD750,AD750)=1,MAX(AC$78:AC749)+1,"")</f>
        <v/>
      </c>
      <c r="AD750" s="215">
        <f>'[2]Изложницы без бурта'!B750</f>
        <v>252.5</v>
      </c>
      <c r="AE750" s="215">
        <f>'[2]Изложницы без бурта'!C750</f>
        <v>495</v>
      </c>
      <c r="AF750" s="56">
        <f>'[2]Изложницы без бурта'!D750</f>
        <v>360</v>
      </c>
      <c r="AG750" s="56">
        <f>'[2]Изложницы без бурта'!E750</f>
        <v>400</v>
      </c>
      <c r="AH750" s="56" t="str">
        <f>'[2]Изложницы без бурта'!F750</f>
        <v>72.23398 - 13</v>
      </c>
      <c r="AI750" s="56">
        <f>'[2]Изложницы без бурта'!G750</f>
        <v>7260036</v>
      </c>
      <c r="AJ750" s="56">
        <f>'[2]Изложницы без бурта'!H750</f>
        <v>0</v>
      </c>
      <c r="AK750" s="56">
        <f>'[2]Изложницы без бурта'!I750</f>
        <v>0</v>
      </c>
      <c r="AL750" s="56" t="s">
        <v>632</v>
      </c>
      <c r="AM750" s="56">
        <f>'[2]Изложницы без бурта'!K750</f>
        <v>0</v>
      </c>
    </row>
    <row r="751" spans="28:39" x14ac:dyDescent="0.25">
      <c r="AB751" s="253" t="str">
        <f t="shared" si="27"/>
        <v/>
      </c>
      <c r="AC751" s="254" t="str">
        <f>IF(COUNTIF(AD$78:AD751,AD751)=1,MAX(AC$78:AC750)+1,"")</f>
        <v/>
      </c>
      <c r="AD751" s="215">
        <f>'[2]Изложницы без бурта'!B751</f>
        <v>252.5</v>
      </c>
      <c r="AE751" s="215">
        <f>'[2]Изложницы без бурта'!C751</f>
        <v>260</v>
      </c>
      <c r="AF751" s="56">
        <f>'[2]Изложницы без бурта'!D751</f>
        <v>375</v>
      </c>
      <c r="AG751" s="56">
        <f>'[2]Изложницы без бурта'!E751</f>
        <v>450</v>
      </c>
      <c r="AH751" s="56" t="str">
        <f>'[2]Изложницы без бурта'!F751</f>
        <v>72.11872 - 13</v>
      </c>
      <c r="AI751" s="56">
        <f>'[2]Изложницы без бурта'!G751</f>
        <v>0</v>
      </c>
      <c r="AJ751" s="56">
        <f>'[2]Изложницы без бурта'!H751</f>
        <v>0</v>
      </c>
      <c r="AK751" s="56">
        <f>'[2]Изложницы без бурта'!I751</f>
        <v>0</v>
      </c>
      <c r="AL751" s="56" t="s">
        <v>632</v>
      </c>
      <c r="AM751" s="56">
        <f>'[2]Изложницы без бурта'!K751</f>
        <v>0</v>
      </c>
    </row>
    <row r="752" spans="28:39" x14ac:dyDescent="0.25">
      <c r="AB752" s="253" t="str">
        <f t="shared" si="27"/>
        <v/>
      </c>
      <c r="AC752" s="254" t="str">
        <f>IF(COUNTIF(AD$78:AD752,AD752)=1,MAX(AC$78:AC751)+1,"")</f>
        <v/>
      </c>
      <c r="AD752" s="215">
        <f>'[2]Изложницы без бурта'!B752</f>
        <v>252.5</v>
      </c>
      <c r="AE752" s="215">
        <f>'[2]Изложницы без бурта'!C752</f>
        <v>260</v>
      </c>
      <c r="AF752" s="56">
        <f>'[2]Изложницы без бурта'!D752</f>
        <v>360</v>
      </c>
      <c r="AG752" s="56">
        <f>'[2]Изложницы без бурта'!E752</f>
        <v>450</v>
      </c>
      <c r="AH752" s="56" t="str">
        <f>'[2]Изложницы без бурта'!F752</f>
        <v>72.11872 - 13</v>
      </c>
      <c r="AI752" s="56">
        <f>'[2]Изложницы без бурта'!G752</f>
        <v>0</v>
      </c>
      <c r="AJ752" s="56">
        <f>'[2]Изложницы без бурта'!H752</f>
        <v>0</v>
      </c>
      <c r="AK752" s="56">
        <f>'[2]Изложницы без бурта'!I752</f>
        <v>0</v>
      </c>
      <c r="AL752" s="56" t="s">
        <v>632</v>
      </c>
      <c r="AM752" s="56">
        <f>'[2]Изложницы без бурта'!K752</f>
        <v>0</v>
      </c>
    </row>
    <row r="753" spans="28:39" x14ac:dyDescent="0.25">
      <c r="AB753" s="253" t="str">
        <f t="shared" si="27"/>
        <v/>
      </c>
      <c r="AC753" s="254">
        <f>IF(COUNTIF(AD$78:AD753,AD753)=1,MAX(AC$78:AC752)+1,"")</f>
        <v>67</v>
      </c>
      <c r="AD753" s="215">
        <f>'[2]Изложницы без бурта'!B753</f>
        <v>255</v>
      </c>
      <c r="AE753" s="215">
        <f>'[2]Изложницы без бурта'!C753</f>
        <v>257</v>
      </c>
      <c r="AF753" s="56">
        <f>'[2]Изложницы без бурта'!D753</f>
        <v>360</v>
      </c>
      <c r="AG753" s="56">
        <f>'[2]Изложницы без бурта'!E753</f>
        <v>450</v>
      </c>
      <c r="AH753" s="56" t="str">
        <f>'[2]Изложницы без бурта'!F753</f>
        <v>72.11872 - 14</v>
      </c>
      <c r="AI753" s="56">
        <f>'[2]Изложницы без бурта'!G753</f>
        <v>0</v>
      </c>
      <c r="AJ753" s="56">
        <f>'[2]Изложницы без бурта'!H753</f>
        <v>0</v>
      </c>
      <c r="AK753" s="56">
        <f>'[2]Изложницы без бурта'!I753</f>
        <v>0</v>
      </c>
      <c r="AL753" s="56" t="s">
        <v>633</v>
      </c>
      <c r="AM753" s="56">
        <f>'[2]Изложницы без бурта'!K753</f>
        <v>0</v>
      </c>
    </row>
    <row r="754" spans="28:39" x14ac:dyDescent="0.25">
      <c r="AB754" s="253" t="str">
        <f t="shared" si="27"/>
        <v/>
      </c>
      <c r="AC754" s="254" t="str">
        <f>IF(COUNTIF(AD$78:AD754,AD754)=1,MAX(AC$78:AC753)+1,"")</f>
        <v/>
      </c>
      <c r="AD754" s="215">
        <f>'[2]Изложницы без бурта'!B754</f>
        <v>255</v>
      </c>
      <c r="AE754" s="215">
        <f>'[2]Изложницы без бурта'!C754</f>
        <v>258</v>
      </c>
      <c r="AF754" s="56">
        <f>'[2]Изложницы без бурта'!D754</f>
        <v>360</v>
      </c>
      <c r="AG754" s="56">
        <f>'[2]Изложницы без бурта'!E754</f>
        <v>450</v>
      </c>
      <c r="AH754" s="56" t="str">
        <f>'[2]Изложницы без бурта'!F754</f>
        <v>72.11872 - 14</v>
      </c>
      <c r="AI754" s="56">
        <f>'[2]Изложницы без бурта'!G754</f>
        <v>0</v>
      </c>
      <c r="AJ754" s="56">
        <f>'[2]Изложницы без бурта'!H754</f>
        <v>0</v>
      </c>
      <c r="AK754" s="56">
        <f>'[2]Изложницы без бурта'!I754</f>
        <v>0</v>
      </c>
      <c r="AL754" s="56" t="s">
        <v>633</v>
      </c>
      <c r="AM754" s="56">
        <f>'[2]Изложницы без бурта'!K754</f>
        <v>0</v>
      </c>
    </row>
    <row r="755" spans="28:39" x14ac:dyDescent="0.25">
      <c r="AB755" s="253" t="str">
        <f t="shared" si="27"/>
        <v/>
      </c>
      <c r="AC755" s="254" t="str">
        <f>IF(COUNTIF(AD$78:AD755,AD755)=1,MAX(AC$78:AC754)+1,"")</f>
        <v/>
      </c>
      <c r="AD755" s="215">
        <f>'[2]Изложницы без бурта'!B755</f>
        <v>255</v>
      </c>
      <c r="AE755" s="215">
        <f>'[2]Изложницы без бурта'!C755</f>
        <v>260</v>
      </c>
      <c r="AF755" s="56">
        <f>'[2]Изложницы без бурта'!D755</f>
        <v>360</v>
      </c>
      <c r="AG755" s="56">
        <f>'[2]Изложницы без бурта'!E755</f>
        <v>450</v>
      </c>
      <c r="AH755" s="56" t="str">
        <f>'[2]Изложницы без бурта'!F755</f>
        <v>72.11872 - 14</v>
      </c>
      <c r="AI755" s="56">
        <f>'[2]Изложницы без бурта'!G755</f>
        <v>0</v>
      </c>
      <c r="AJ755" s="56">
        <f>'[2]Изложницы без бурта'!H755</f>
        <v>0</v>
      </c>
      <c r="AK755" s="56">
        <f>'[2]Изложницы без бурта'!I755</f>
        <v>0</v>
      </c>
      <c r="AL755" s="56" t="s">
        <v>633</v>
      </c>
      <c r="AM755" s="56">
        <f>'[2]Изложницы без бурта'!K755</f>
        <v>0</v>
      </c>
    </row>
    <row r="756" spans="28:39" x14ac:dyDescent="0.25">
      <c r="AB756" s="253" t="str">
        <f t="shared" si="27"/>
        <v/>
      </c>
      <c r="AC756" s="254" t="str">
        <f>IF(COUNTIF(AD$78:AD756,AD756)=1,MAX(AC$78:AC755)+1,"")</f>
        <v/>
      </c>
      <c r="AD756" s="215">
        <f>'[2]Изложницы без бурта'!B756</f>
        <v>255</v>
      </c>
      <c r="AE756" s="215">
        <f>'[2]Изложницы без бурта'!C756</f>
        <v>377</v>
      </c>
      <c r="AF756" s="56">
        <f>'[2]Изложницы без бурта'!D756</f>
        <v>360</v>
      </c>
      <c r="AG756" s="56">
        <f>'[2]Изложницы без бурта'!E756</f>
        <v>450</v>
      </c>
      <c r="AH756" s="56" t="str">
        <f>'[2]Изложницы без бурта'!F756</f>
        <v>72.11874 - 14</v>
      </c>
      <c r="AI756" s="56">
        <f>'[2]Изложницы без бурта'!G756</f>
        <v>7260037</v>
      </c>
      <c r="AJ756" s="56">
        <f>'[2]Изложницы без бурта'!H756</f>
        <v>0</v>
      </c>
      <c r="AK756" s="56">
        <f>'[2]Изложницы без бурта'!I756</f>
        <v>0</v>
      </c>
      <c r="AL756" s="56" t="s">
        <v>633</v>
      </c>
      <c r="AM756" s="56">
        <f>'[2]Изложницы без бурта'!K756</f>
        <v>0</v>
      </c>
    </row>
    <row r="757" spans="28:39" x14ac:dyDescent="0.25">
      <c r="AB757" s="253" t="str">
        <f t="shared" si="27"/>
        <v/>
      </c>
      <c r="AC757" s="254" t="str">
        <f>IF(COUNTIF(AD$78:AD757,AD757)=1,MAX(AC$78:AC756)+1,"")</f>
        <v/>
      </c>
      <c r="AD757" s="215">
        <f>'[2]Изложницы без бурта'!B757</f>
        <v>255</v>
      </c>
      <c r="AE757" s="215">
        <f>'[2]Изложницы без бурта'!C757</f>
        <v>320</v>
      </c>
      <c r="AF757" s="56">
        <f>'[2]Изложницы без бурта'!D757</f>
        <v>360</v>
      </c>
      <c r="AG757" s="56">
        <f>'[2]Изложницы без бурта'!E757</f>
        <v>450</v>
      </c>
      <c r="AH757" s="56" t="str">
        <f>'[2]Изложницы без бурта'!F757</f>
        <v>72.11873 - 14</v>
      </c>
      <c r="AI757" s="56">
        <f>'[2]Изложницы без бурта'!G757</f>
        <v>0</v>
      </c>
      <c r="AJ757" s="56">
        <f>'[2]Изложницы без бурта'!H757</f>
        <v>0</v>
      </c>
      <c r="AK757" s="56">
        <f>'[2]Изложницы без бурта'!I757</f>
        <v>0</v>
      </c>
      <c r="AL757" s="56" t="s">
        <v>633</v>
      </c>
      <c r="AM757" s="56">
        <f>'[2]Изложницы без бурта'!K757</f>
        <v>0</v>
      </c>
    </row>
    <row r="758" spans="28:39" x14ac:dyDescent="0.25">
      <c r="AB758" s="253" t="str">
        <f t="shared" si="27"/>
        <v/>
      </c>
      <c r="AC758" s="254" t="str">
        <f>IF(COUNTIF(AD$78:AD758,AD758)=1,MAX(AC$78:AC757)+1,"")</f>
        <v/>
      </c>
      <c r="AD758" s="215">
        <f>'[2]Изложницы без бурта'!B758</f>
        <v>255</v>
      </c>
      <c r="AE758" s="215">
        <f>'[2]Изложницы без бурта'!C758</f>
        <v>260</v>
      </c>
      <c r="AF758" s="56">
        <f>'[2]Изложницы без бурта'!D758</f>
        <v>360</v>
      </c>
      <c r="AG758" s="56">
        <f>'[2]Изложницы без бурта'!E758</f>
        <v>450</v>
      </c>
      <c r="AH758" s="56" t="str">
        <f>'[2]Изложницы без бурта'!F758</f>
        <v>72.11872 - 14</v>
      </c>
      <c r="AI758" s="56">
        <f>'[2]Изложницы без бурта'!G758</f>
        <v>0</v>
      </c>
      <c r="AJ758" s="56">
        <f>'[2]Изложницы без бурта'!H758</f>
        <v>0</v>
      </c>
      <c r="AK758" s="56">
        <f>'[2]Изложницы без бурта'!I758</f>
        <v>0</v>
      </c>
      <c r="AL758" s="56" t="s">
        <v>633</v>
      </c>
      <c r="AM758" s="56">
        <f>'[2]Изложницы без бурта'!K758</f>
        <v>0</v>
      </c>
    </row>
    <row r="759" spans="28:39" x14ac:dyDescent="0.25">
      <c r="AB759" s="253" t="str">
        <f t="shared" si="27"/>
        <v/>
      </c>
      <c r="AC759" s="254" t="str">
        <f>IF(COUNTIF(AD$78:AD759,AD759)=1,MAX(AC$78:AC758)+1,"")</f>
        <v/>
      </c>
      <c r="AD759" s="215">
        <f>'[2]Изложницы без бурта'!B759</f>
        <v>255</v>
      </c>
      <c r="AE759" s="215">
        <f>'[2]Изложницы без бурта'!C759</f>
        <v>260</v>
      </c>
      <c r="AF759" s="56">
        <f>'[2]Изложницы без бурта'!D759</f>
        <v>360</v>
      </c>
      <c r="AG759" s="56">
        <f>'[2]Изложницы без бурта'!E759</f>
        <v>450</v>
      </c>
      <c r="AH759" s="56" t="str">
        <f>'[2]Изложницы без бурта'!F759</f>
        <v>72.11872 - 14</v>
      </c>
      <c r="AI759" s="56">
        <f>'[2]Изложницы без бурта'!G759</f>
        <v>0</v>
      </c>
      <c r="AJ759" s="56">
        <f>'[2]Изложницы без бурта'!H759</f>
        <v>0</v>
      </c>
      <c r="AK759" s="56">
        <f>'[2]Изложницы без бурта'!I759</f>
        <v>0</v>
      </c>
      <c r="AL759" s="56" t="s">
        <v>633</v>
      </c>
      <c r="AM759" s="56">
        <f>'[2]Изложницы без бурта'!K759</f>
        <v>0</v>
      </c>
    </row>
    <row r="760" spans="28:39" x14ac:dyDescent="0.25">
      <c r="AB760" s="253" t="str">
        <f t="shared" si="27"/>
        <v/>
      </c>
      <c r="AC760" s="254">
        <f>IF(COUNTIF(AD$78:AD760,AD760)=1,MAX(AC$78:AC759)+1,"")</f>
        <v>68</v>
      </c>
      <c r="AD760" s="215">
        <f>'[2]Изложницы без бурта'!B760</f>
        <v>257.5</v>
      </c>
      <c r="AE760" s="215">
        <f>'[2]Изложницы без бурта'!C760</f>
        <v>380</v>
      </c>
      <c r="AF760" s="56">
        <f>'[2]Изложницы без бурта'!D760</f>
        <v>375</v>
      </c>
      <c r="AG760" s="56">
        <f>'[2]Изложницы без бурта'!E760</f>
        <v>450</v>
      </c>
      <c r="AH760" s="56" t="str">
        <f>'[2]Изложницы без бурта'!F760</f>
        <v>72.11874 - 15</v>
      </c>
      <c r="AI760" s="56">
        <f>'[2]Изложницы без бурта'!G760</f>
        <v>0</v>
      </c>
      <c r="AJ760" s="56">
        <f>'[2]Изложницы без бурта'!H760</f>
        <v>0</v>
      </c>
      <c r="AK760" s="56">
        <f>'[2]Изложницы без бурта'!I760</f>
        <v>0</v>
      </c>
      <c r="AL760" s="56" t="s">
        <v>634</v>
      </c>
      <c r="AM760" s="56">
        <f>'[2]Изложницы без бурта'!K760</f>
        <v>0</v>
      </c>
    </row>
    <row r="761" spans="28:39" x14ac:dyDescent="0.25">
      <c r="AB761" s="253" t="str">
        <f t="shared" ref="AB761:AB824" si="28">IF(MAX(AC761:AC1838)&lt;ROW(683:683),"",VLOOKUP(ROW(683:683),AC761:AD1838,2))</f>
        <v/>
      </c>
      <c r="AC761" s="254" t="str">
        <f>IF(COUNTIF(AD$78:AD761,AD761)=1,MAX(AC$78:AC760)+1,"")</f>
        <v/>
      </c>
      <c r="AD761" s="215">
        <f>'[2]Изложницы без бурта'!B761</f>
        <v>257.5</v>
      </c>
      <c r="AE761" s="215">
        <f>'[2]Изложницы без бурта'!C761</f>
        <v>260</v>
      </c>
      <c r="AF761" s="56">
        <f>'[2]Изложницы без бурта'!D761</f>
        <v>360</v>
      </c>
      <c r="AG761" s="56">
        <f>'[2]Изложницы без бурта'!E761</f>
        <v>450</v>
      </c>
      <c r="AH761" s="56" t="str">
        <f>'[2]Изложницы без бурта'!F761</f>
        <v>72.11872 - 15</v>
      </c>
      <c r="AI761" s="56">
        <f>'[2]Изложницы без бурта'!G761</f>
        <v>0</v>
      </c>
      <c r="AJ761" s="56">
        <f>'[2]Изложницы без бурта'!H761</f>
        <v>0</v>
      </c>
      <c r="AK761" s="56">
        <f>'[2]Изложницы без бурта'!I761</f>
        <v>0</v>
      </c>
      <c r="AL761" s="56" t="s">
        <v>634</v>
      </c>
      <c r="AM761" s="56">
        <f>'[2]Изложницы без бурта'!K761</f>
        <v>0</v>
      </c>
    </row>
    <row r="762" spans="28:39" x14ac:dyDescent="0.25">
      <c r="AB762" s="253" t="str">
        <f t="shared" si="28"/>
        <v/>
      </c>
      <c r="AC762" s="254" t="str">
        <f>IF(COUNTIF(AD$78:AD762,AD762)=1,MAX(AC$78:AC761)+1,"")</f>
        <v/>
      </c>
      <c r="AD762" s="215">
        <f>'[2]Изложницы без бурта'!B762</f>
        <v>257.5</v>
      </c>
      <c r="AE762" s="215">
        <f>'[2]Изложницы без бурта'!C762</f>
        <v>260</v>
      </c>
      <c r="AF762" s="56">
        <f>'[2]Изложницы без бурта'!D762</f>
        <v>360</v>
      </c>
      <c r="AG762" s="56">
        <f>'[2]Изложницы без бурта'!E762</f>
        <v>450</v>
      </c>
      <c r="AH762" s="56" t="str">
        <f>'[2]Изложницы без бурта'!F762</f>
        <v>72.11872 - 15</v>
      </c>
      <c r="AI762" s="56">
        <f>'[2]Изложницы без бурта'!G762</f>
        <v>0</v>
      </c>
      <c r="AJ762" s="56">
        <f>'[2]Изложницы без бурта'!H762</f>
        <v>0</v>
      </c>
      <c r="AK762" s="56">
        <f>'[2]Изложницы без бурта'!I762</f>
        <v>0</v>
      </c>
      <c r="AL762" s="56" t="s">
        <v>634</v>
      </c>
      <c r="AM762" s="56">
        <f>'[2]Изложницы без бурта'!K762</f>
        <v>0</v>
      </c>
    </row>
    <row r="763" spans="28:39" x14ac:dyDescent="0.25">
      <c r="AB763" s="253" t="str">
        <f t="shared" si="28"/>
        <v/>
      </c>
      <c r="AC763" s="254" t="str">
        <f>IF(COUNTIF(AD$78:AD763,AD763)=1,MAX(AC$78:AC762)+1,"")</f>
        <v/>
      </c>
      <c r="AD763" s="215">
        <f>'[2]Изложницы без бурта'!B763</f>
        <v>257.5</v>
      </c>
      <c r="AE763" s="215">
        <f>'[2]Изложницы без бурта'!C763</f>
        <v>500</v>
      </c>
      <c r="AF763" s="56">
        <f>'[2]Изложницы без бурта'!D763</f>
        <v>360</v>
      </c>
      <c r="AG763" s="56">
        <f>'[2]Изложницы без бурта'!E763</f>
        <v>400</v>
      </c>
      <c r="AH763" s="56" t="str">
        <f>'[2]Изложницы без бурта'!F763</f>
        <v>72.23398 - 15</v>
      </c>
      <c r="AI763" s="56">
        <f>'[2]Изложницы без бурта'!G763</f>
        <v>7260038</v>
      </c>
      <c r="AJ763" s="56">
        <f>'[2]Изложницы без бурта'!H763</f>
        <v>0</v>
      </c>
      <c r="AK763" s="56">
        <f>'[2]Изложницы без бурта'!I763</f>
        <v>0</v>
      </c>
      <c r="AL763" s="56" t="s">
        <v>634</v>
      </c>
      <c r="AM763" s="56">
        <f>'[2]Изложницы без бурта'!K763</f>
        <v>0</v>
      </c>
    </row>
    <row r="764" spans="28:39" x14ac:dyDescent="0.25">
      <c r="AB764" s="253" t="str">
        <f t="shared" si="28"/>
        <v/>
      </c>
      <c r="AC764" s="254">
        <f>IF(COUNTIF(AD$78:AD764,AD764)=1,MAX(AC$78:AC763)+1,"")</f>
        <v>69</v>
      </c>
      <c r="AD764" s="215">
        <f>'[2]Изложницы без бурта'!B764</f>
        <v>260</v>
      </c>
      <c r="AE764" s="215">
        <f>'[2]Изложницы без бурта'!C764</f>
        <v>500</v>
      </c>
      <c r="AF764" s="56">
        <f>'[2]Изложницы без бурта'!D764</f>
        <v>360</v>
      </c>
      <c r="AG764" s="56">
        <f>'[2]Изложницы без бурта'!E764</f>
        <v>400</v>
      </c>
      <c r="AH764" s="56" t="str">
        <f>'[2]Изложницы без бурта'!F764</f>
        <v>72.23398 - 16</v>
      </c>
      <c r="AI764" s="56">
        <f>'[2]Изложницы без бурта'!G764</f>
        <v>0</v>
      </c>
      <c r="AJ764" s="56">
        <f>'[2]Изложницы без бурта'!H764</f>
        <v>0</v>
      </c>
      <c r="AK764" s="56">
        <f>'[2]Изложницы без бурта'!I764</f>
        <v>0</v>
      </c>
      <c r="AL764" s="56" t="s">
        <v>635</v>
      </c>
      <c r="AM764" s="56">
        <f>'[2]Изложницы без бурта'!K764</f>
        <v>0</v>
      </c>
    </row>
    <row r="765" spans="28:39" x14ac:dyDescent="0.25">
      <c r="AB765" s="253" t="str">
        <f t="shared" si="28"/>
        <v/>
      </c>
      <c r="AC765" s="254" t="str">
        <f>IF(COUNTIF(AD$78:AD765,AD765)=1,MAX(AC$78:AC764)+1,"")</f>
        <v/>
      </c>
      <c r="AD765" s="215">
        <f>'[2]Изложницы без бурта'!B765</f>
        <v>260</v>
      </c>
      <c r="AE765" s="215">
        <f>'[2]Изложницы без бурта'!C765</f>
        <v>495</v>
      </c>
      <c r="AF765" s="56">
        <f>'[2]Изложницы без бурта'!D765</f>
        <v>375</v>
      </c>
      <c r="AG765" s="56">
        <f>'[2]Изложницы без бурта'!E765</f>
        <v>400</v>
      </c>
      <c r="AH765" s="56" t="str">
        <f>'[2]Изложницы без бурта'!F765</f>
        <v>72.23398 - 16</v>
      </c>
      <c r="AI765" s="56">
        <f>'[2]Изложницы без бурта'!G765</f>
        <v>0</v>
      </c>
      <c r="AJ765" s="56">
        <f>'[2]Изложницы без бурта'!H765</f>
        <v>0</v>
      </c>
      <c r="AK765" s="56">
        <f>'[2]Изложницы без бурта'!I765</f>
        <v>0</v>
      </c>
      <c r="AL765" s="56" t="s">
        <v>635</v>
      </c>
      <c r="AM765" s="56">
        <f>'[2]Изложницы без бурта'!K765</f>
        <v>0</v>
      </c>
    </row>
    <row r="766" spans="28:39" x14ac:dyDescent="0.25">
      <c r="AB766" s="253" t="str">
        <f t="shared" si="28"/>
        <v/>
      </c>
      <c r="AC766" s="254" t="str">
        <f>IF(COUNTIF(AD$78:AD766,AD766)=1,MAX(AC$78:AC765)+1,"")</f>
        <v/>
      </c>
      <c r="AD766" s="215">
        <f>'[2]Изложницы без бурта'!B766</f>
        <v>260</v>
      </c>
      <c r="AE766" s="215">
        <f>'[2]Изложницы без бурта'!C766</f>
        <v>377</v>
      </c>
      <c r="AF766" s="56">
        <f>'[2]Изложницы без бурта'!D766</f>
        <v>360</v>
      </c>
      <c r="AG766" s="56">
        <f>'[2]Изложницы без бурта'!E766</f>
        <v>450</v>
      </c>
      <c r="AH766" s="56" t="str">
        <f>'[2]Изложницы без бурта'!F766</f>
        <v>72.11874 - 16</v>
      </c>
      <c r="AI766" s="56">
        <f>'[2]Изложницы без бурта'!G766</f>
        <v>0</v>
      </c>
      <c r="AJ766" s="56">
        <f>'[2]Изложницы без бурта'!H766</f>
        <v>0</v>
      </c>
      <c r="AK766" s="56">
        <f>'[2]Изложницы без бурта'!I766</f>
        <v>0</v>
      </c>
      <c r="AL766" s="56" t="s">
        <v>635</v>
      </c>
      <c r="AM766" s="56">
        <f>'[2]Изложницы без бурта'!K766</f>
        <v>0</v>
      </c>
    </row>
    <row r="767" spans="28:39" x14ac:dyDescent="0.25">
      <c r="AB767" s="253" t="str">
        <f t="shared" si="28"/>
        <v/>
      </c>
      <c r="AC767" s="254" t="str">
        <f>IF(COUNTIF(AD$78:AD767,AD767)=1,MAX(AC$78:AC766)+1,"")</f>
        <v/>
      </c>
      <c r="AD767" s="215">
        <f>'[2]Изложницы без бурта'!B767</f>
        <v>260</v>
      </c>
      <c r="AE767" s="215">
        <f>'[2]Изложницы без бурта'!C767</f>
        <v>258</v>
      </c>
      <c r="AF767" s="56">
        <f>'[2]Изложницы без бурта'!D767</f>
        <v>375</v>
      </c>
      <c r="AG767" s="56">
        <f>'[2]Изложницы без бурта'!E767</f>
        <v>450</v>
      </c>
      <c r="AH767" s="56" t="str">
        <f>'[2]Изложницы без бурта'!F767</f>
        <v>72.11872 - 16</v>
      </c>
      <c r="AI767" s="56">
        <f>'[2]Изложницы без бурта'!G767</f>
        <v>0</v>
      </c>
      <c r="AJ767" s="56">
        <f>'[2]Изложницы без бурта'!H767</f>
        <v>0</v>
      </c>
      <c r="AK767" s="56">
        <f>'[2]Изложницы без бурта'!I767</f>
        <v>0</v>
      </c>
      <c r="AL767" s="56" t="s">
        <v>635</v>
      </c>
      <c r="AM767" s="56">
        <f>'[2]Изложницы без бурта'!K767</f>
        <v>0</v>
      </c>
    </row>
    <row r="768" spans="28:39" x14ac:dyDescent="0.25">
      <c r="AB768" s="253" t="str">
        <f t="shared" si="28"/>
        <v/>
      </c>
      <c r="AC768" s="254" t="str">
        <f>IF(COUNTIF(AD$78:AD768,AD768)=1,MAX(AC$78:AC767)+1,"")</f>
        <v/>
      </c>
      <c r="AD768" s="215">
        <f>'[2]Изложницы без бурта'!B768</f>
        <v>260</v>
      </c>
      <c r="AE768" s="215">
        <f>'[2]Изложницы без бурта'!C768</f>
        <v>260</v>
      </c>
      <c r="AF768" s="56">
        <f>'[2]Изложницы без бурта'!D768</f>
        <v>375</v>
      </c>
      <c r="AG768" s="56">
        <f>'[2]Изложницы без бурта'!E768</f>
        <v>450</v>
      </c>
      <c r="AH768" s="56" t="str">
        <f>'[2]Изложницы без бурта'!F768</f>
        <v>72.11872 - 16</v>
      </c>
      <c r="AI768" s="56">
        <f>'[2]Изложницы без бурта'!G768</f>
        <v>0</v>
      </c>
      <c r="AJ768" s="56">
        <f>'[2]Изложницы без бурта'!H768</f>
        <v>0</v>
      </c>
      <c r="AK768" s="56">
        <f>'[2]Изложницы без бурта'!I768</f>
        <v>0</v>
      </c>
      <c r="AL768" s="56" t="s">
        <v>635</v>
      </c>
      <c r="AM768" s="56">
        <f>'[2]Изложницы без бурта'!K768</f>
        <v>0</v>
      </c>
    </row>
    <row r="769" spans="28:39" x14ac:dyDescent="0.25">
      <c r="AB769" s="253" t="str">
        <f t="shared" si="28"/>
        <v/>
      </c>
      <c r="AC769" s="254" t="str">
        <f>IF(COUNTIF(AD$78:AD769,AD769)=1,MAX(AC$78:AC768)+1,"")</f>
        <v/>
      </c>
      <c r="AD769" s="215">
        <f>'[2]Изложницы без бурта'!B769</f>
        <v>260</v>
      </c>
      <c r="AE769" s="215">
        <f>'[2]Изложницы без бурта'!C769</f>
        <v>318</v>
      </c>
      <c r="AF769" s="56">
        <f>'[2]Изложницы без бурта'!D769</f>
        <v>360</v>
      </c>
      <c r="AG769" s="56">
        <f>'[2]Изложницы без бурта'!E769</f>
        <v>450</v>
      </c>
      <c r="AH769" s="56" t="str">
        <f>'[2]Изложницы без бурта'!F769</f>
        <v>72.11873 - 16</v>
      </c>
      <c r="AI769" s="56">
        <f>'[2]Изложницы без бурта'!G769</f>
        <v>0</v>
      </c>
      <c r="AJ769" s="56">
        <f>'[2]Изложницы без бурта'!H769</f>
        <v>0</v>
      </c>
      <c r="AK769" s="56">
        <f>'[2]Изложницы без бурта'!I769</f>
        <v>0</v>
      </c>
      <c r="AL769" s="56" t="s">
        <v>635</v>
      </c>
      <c r="AM769" s="56">
        <f>'[2]Изложницы без бурта'!K769</f>
        <v>0</v>
      </c>
    </row>
    <row r="770" spans="28:39" x14ac:dyDescent="0.25">
      <c r="AB770" s="253" t="str">
        <f t="shared" si="28"/>
        <v/>
      </c>
      <c r="AC770" s="254" t="str">
        <f>IF(COUNTIF(AD$78:AD770,AD770)=1,MAX(AC$78:AC769)+1,"")</f>
        <v/>
      </c>
      <c r="AD770" s="215">
        <f>'[2]Изложницы без бурта'!B770</f>
        <v>260</v>
      </c>
      <c r="AE770" s="215">
        <f>'[2]Изложницы без бурта'!C770</f>
        <v>495</v>
      </c>
      <c r="AF770" s="56">
        <f>'[2]Изложницы без бурта'!D770</f>
        <v>360</v>
      </c>
      <c r="AG770" s="56">
        <f>'[2]Изложницы без бурта'!E770</f>
        <v>400</v>
      </c>
      <c r="AH770" s="56" t="str">
        <f>'[2]Изложницы без бурта'!F770</f>
        <v>72.23398 - 16</v>
      </c>
      <c r="AI770" s="56">
        <f>'[2]Изложницы без бурта'!G770</f>
        <v>0</v>
      </c>
      <c r="AJ770" s="56">
        <f>'[2]Изложницы без бурта'!H770</f>
        <v>0</v>
      </c>
      <c r="AK770" s="56">
        <f>'[2]Изложницы без бурта'!I770</f>
        <v>0</v>
      </c>
      <c r="AL770" s="56" t="s">
        <v>635</v>
      </c>
      <c r="AM770" s="56">
        <f>'[2]Изложницы без бурта'!K770</f>
        <v>0</v>
      </c>
    </row>
    <row r="771" spans="28:39" x14ac:dyDescent="0.25">
      <c r="AB771" s="253" t="str">
        <f t="shared" si="28"/>
        <v/>
      </c>
      <c r="AC771" s="254" t="str">
        <f>IF(COUNTIF(AD$78:AD771,AD771)=1,MAX(AC$78:AC770)+1,"")</f>
        <v/>
      </c>
      <c r="AD771" s="215">
        <f>'[2]Изложницы без бурта'!B771</f>
        <v>260</v>
      </c>
      <c r="AE771" s="215">
        <f>'[2]Изложницы без бурта'!C771</f>
        <v>257</v>
      </c>
      <c r="AF771" s="56">
        <f>'[2]Изложницы без бурта'!D771</f>
        <v>360</v>
      </c>
      <c r="AG771" s="56">
        <f>'[2]Изложницы без бурта'!E771</f>
        <v>450</v>
      </c>
      <c r="AH771" s="56" t="str">
        <f>'[2]Изложницы без бурта'!F771</f>
        <v>72.11872 - 16</v>
      </c>
      <c r="AI771" s="56">
        <f>'[2]Изложницы без бурта'!G771</f>
        <v>0</v>
      </c>
      <c r="AJ771" s="56">
        <f>'[2]Изложницы без бурта'!H771</f>
        <v>0</v>
      </c>
      <c r="AK771" s="56">
        <f>'[2]Изложницы без бурта'!I771</f>
        <v>0</v>
      </c>
      <c r="AL771" s="56" t="s">
        <v>635</v>
      </c>
      <c r="AM771" s="56">
        <f>'[2]Изложницы без бурта'!K771</f>
        <v>0</v>
      </c>
    </row>
    <row r="772" spans="28:39" x14ac:dyDescent="0.25">
      <c r="AB772" s="253" t="str">
        <f t="shared" si="28"/>
        <v/>
      </c>
      <c r="AC772" s="254" t="str">
        <f>IF(COUNTIF(AD$78:AD772,AD772)=1,MAX(AC$78:AC771)+1,"")</f>
        <v/>
      </c>
      <c r="AD772" s="215">
        <f>'[2]Изложницы без бурта'!B772</f>
        <v>260</v>
      </c>
      <c r="AE772" s="215">
        <f>'[2]Изложницы без бурта'!C772</f>
        <v>320</v>
      </c>
      <c r="AF772" s="56">
        <f>'[2]Изложницы без бурта'!D772</f>
        <v>375</v>
      </c>
      <c r="AG772" s="56">
        <f>'[2]Изложницы без бурта'!E772</f>
        <v>450</v>
      </c>
      <c r="AH772" s="56" t="str">
        <f>'[2]Изложницы без бурта'!F772</f>
        <v>72.11873 - 16</v>
      </c>
      <c r="AI772" s="56">
        <f>'[2]Изложницы без бурта'!G772</f>
        <v>0</v>
      </c>
      <c r="AJ772" s="56">
        <f>'[2]Изложницы без бурта'!H772</f>
        <v>0</v>
      </c>
      <c r="AK772" s="56">
        <f>'[2]Изложницы без бурта'!I772</f>
        <v>0</v>
      </c>
      <c r="AL772" s="56" t="s">
        <v>635</v>
      </c>
      <c r="AM772" s="56">
        <f>'[2]Изложницы без бурта'!K772</f>
        <v>0</v>
      </c>
    </row>
    <row r="773" spans="28:39" x14ac:dyDescent="0.25">
      <c r="AB773" s="253" t="str">
        <f t="shared" si="28"/>
        <v/>
      </c>
      <c r="AC773" s="254" t="str">
        <f>IF(COUNTIF(AD$78:AD773,AD773)=1,MAX(AC$78:AC772)+1,"")</f>
        <v/>
      </c>
      <c r="AD773" s="215">
        <f>'[2]Изложницы без бурта'!B773</f>
        <v>260</v>
      </c>
      <c r="AE773" s="215">
        <f>'[2]Изложницы без бурта'!C773</f>
        <v>380</v>
      </c>
      <c r="AF773" s="56">
        <f>'[2]Изложницы без бурта'!D773</f>
        <v>360</v>
      </c>
      <c r="AG773" s="56">
        <f>'[2]Изложницы без бурта'!E773</f>
        <v>450</v>
      </c>
      <c r="AH773" s="56" t="str">
        <f>'[2]Изложницы без бурта'!F773</f>
        <v>72.11874 - 16</v>
      </c>
      <c r="AI773" s="56">
        <f>'[2]Изложницы без бурта'!G773</f>
        <v>0</v>
      </c>
      <c r="AJ773" s="56">
        <f>'[2]Изложницы без бурта'!H773</f>
        <v>0</v>
      </c>
      <c r="AK773" s="56">
        <f>'[2]Изложницы без бурта'!I773</f>
        <v>0</v>
      </c>
      <c r="AL773" s="56" t="s">
        <v>635</v>
      </c>
      <c r="AM773" s="56">
        <f>'[2]Изложницы без бурта'!K773</f>
        <v>0</v>
      </c>
    </row>
    <row r="774" spans="28:39" x14ac:dyDescent="0.25">
      <c r="AB774" s="253" t="str">
        <f t="shared" si="28"/>
        <v/>
      </c>
      <c r="AC774" s="254" t="str">
        <f>IF(COUNTIF(AD$78:AD774,AD774)=1,MAX(AC$78:AC773)+1,"")</f>
        <v/>
      </c>
      <c r="AD774" s="215">
        <f>'[2]Изложницы без бурта'!B774</f>
        <v>260</v>
      </c>
      <c r="AE774" s="215">
        <f>'[2]Изложницы без бурта'!C774</f>
        <v>260</v>
      </c>
      <c r="AF774" s="56">
        <f>'[2]Изложницы без бурта'!D774</f>
        <v>360</v>
      </c>
      <c r="AG774" s="56">
        <f>'[2]Изложницы без бурта'!E774</f>
        <v>450</v>
      </c>
      <c r="AH774" s="56" t="str">
        <f>'[2]Изложницы без бурта'!F774</f>
        <v>72.11872 - 16</v>
      </c>
      <c r="AI774" s="56">
        <f>'[2]Изложницы без бурта'!G774</f>
        <v>0</v>
      </c>
      <c r="AJ774" s="56">
        <f>'[2]Изложницы без бурта'!H774</f>
        <v>0</v>
      </c>
      <c r="AK774" s="56">
        <f>'[2]Изложницы без бурта'!I774</f>
        <v>0</v>
      </c>
      <c r="AL774" s="56" t="s">
        <v>635</v>
      </c>
      <c r="AM774" s="56">
        <f>'[2]Изложницы без бурта'!K774</f>
        <v>0</v>
      </c>
    </row>
    <row r="775" spans="28:39" x14ac:dyDescent="0.25">
      <c r="AB775" s="253" t="str">
        <f t="shared" si="28"/>
        <v/>
      </c>
      <c r="AC775" s="254">
        <f>IF(COUNTIF(AD$78:AD775,AD775)=1,MAX(AC$78:AC774)+1,"")</f>
        <v>70</v>
      </c>
      <c r="AD775" s="215">
        <f>'[2]Изложницы без бурта'!B775</f>
        <v>262.5</v>
      </c>
      <c r="AE775" s="215">
        <f>'[2]Изложницы без бурта'!C775</f>
        <v>377</v>
      </c>
      <c r="AF775" s="56">
        <f>'[2]Изложницы без бурта'!D775</f>
        <v>360</v>
      </c>
      <c r="AG775" s="56">
        <f>'[2]Изложницы без бурта'!E775</f>
        <v>450</v>
      </c>
      <c r="AH775" s="56" t="str">
        <f>'[2]Изложницы без бурта'!F775</f>
        <v>72.11874 - 17</v>
      </c>
      <c r="AI775" s="56">
        <f>'[2]Изложницы без бурта'!G775</f>
        <v>0</v>
      </c>
      <c r="AJ775" s="56">
        <f>'[2]Изложницы без бурта'!H775</f>
        <v>0</v>
      </c>
      <c r="AK775" s="56">
        <f>'[2]Изложницы без бурта'!I775</f>
        <v>0</v>
      </c>
      <c r="AL775" s="56" t="s">
        <v>636</v>
      </c>
      <c r="AM775" s="56">
        <f>'[2]Изложницы без бурта'!K775</f>
        <v>0</v>
      </c>
    </row>
    <row r="776" spans="28:39" x14ac:dyDescent="0.25">
      <c r="AB776" s="253" t="str">
        <f t="shared" si="28"/>
        <v/>
      </c>
      <c r="AC776" s="254" t="str">
        <f>IF(COUNTIF(AD$78:AD776,AD776)=1,MAX(AC$78:AC775)+1,"")</f>
        <v/>
      </c>
      <c r="AD776" s="215">
        <f>'[2]Изложницы без бурта'!B776</f>
        <v>262.5</v>
      </c>
      <c r="AE776" s="215">
        <f>'[2]Изложницы без бурта'!C776</f>
        <v>377</v>
      </c>
      <c r="AF776" s="56">
        <f>'[2]Изложницы без бурта'!D776</f>
        <v>360</v>
      </c>
      <c r="AG776" s="56">
        <f>'[2]Изложницы без бурта'!E776</f>
        <v>450</v>
      </c>
      <c r="AH776" s="56" t="str">
        <f>'[2]Изложницы без бурта'!F776</f>
        <v>72.11874 - 17</v>
      </c>
      <c r="AI776" s="56">
        <f>'[2]Изложницы без бурта'!G776</f>
        <v>0</v>
      </c>
      <c r="AJ776" s="56">
        <f>'[2]Изложницы без бурта'!H776</f>
        <v>0</v>
      </c>
      <c r="AK776" s="56">
        <f>'[2]Изложницы без бурта'!I776</f>
        <v>0</v>
      </c>
      <c r="AL776" s="56" t="s">
        <v>636</v>
      </c>
      <c r="AM776" s="56">
        <f>'[2]Изложницы без бурта'!K776</f>
        <v>0</v>
      </c>
    </row>
    <row r="777" spans="28:39" x14ac:dyDescent="0.25">
      <c r="AB777" s="253" t="str">
        <f t="shared" si="28"/>
        <v/>
      </c>
      <c r="AC777" s="254" t="str">
        <f>IF(COUNTIF(AD$78:AD777,AD777)=1,MAX(AC$78:AC776)+1,"")</f>
        <v/>
      </c>
      <c r="AD777" s="215">
        <f>'[2]Изложницы без бурта'!B777</f>
        <v>262.5</v>
      </c>
      <c r="AE777" s="215">
        <f>'[2]Изложницы без бурта'!C777</f>
        <v>260</v>
      </c>
      <c r="AF777" s="56">
        <f>'[2]Изложницы без бурта'!D777</f>
        <v>360</v>
      </c>
      <c r="AG777" s="56">
        <f>'[2]Изложницы без бурта'!E777</f>
        <v>450</v>
      </c>
      <c r="AH777" s="56" t="str">
        <f>'[2]Изложницы без бурта'!F777</f>
        <v>72.11872 - 17</v>
      </c>
      <c r="AI777" s="56">
        <f>'[2]Изложницы без бурта'!G777</f>
        <v>0</v>
      </c>
      <c r="AJ777" s="56">
        <f>'[2]Изложницы без бурта'!H777</f>
        <v>0</v>
      </c>
      <c r="AK777" s="56">
        <f>'[2]Изложницы без бурта'!I777</f>
        <v>0</v>
      </c>
      <c r="AL777" s="56" t="s">
        <v>636</v>
      </c>
      <c r="AM777" s="56">
        <f>'[2]Изложницы без бурта'!K777</f>
        <v>0</v>
      </c>
    </row>
    <row r="778" spans="28:39" x14ac:dyDescent="0.25">
      <c r="AB778" s="253" t="str">
        <f t="shared" si="28"/>
        <v/>
      </c>
      <c r="AC778" s="254" t="str">
        <f>IF(COUNTIF(AD$78:AD778,AD778)=1,MAX(AC$78:AC777)+1,"")</f>
        <v/>
      </c>
      <c r="AD778" s="215">
        <f>'[2]Изложницы без бурта'!B778</f>
        <v>262.5</v>
      </c>
      <c r="AE778" s="215">
        <f>'[2]Изложницы без бурта'!C778</f>
        <v>213</v>
      </c>
      <c r="AF778" s="56">
        <f>'[2]Изложницы без бурта'!D778</f>
        <v>375</v>
      </c>
      <c r="AG778" s="56">
        <f>'[2]Изложницы без бурта'!E778</f>
        <v>450</v>
      </c>
      <c r="AH778" s="56" t="str">
        <f>'[2]Изложницы без бурта'!F778</f>
        <v>10.246092 - 1</v>
      </c>
      <c r="AI778" s="56">
        <f>'[2]Изложницы без бурта'!G778</f>
        <v>7260039</v>
      </c>
      <c r="AJ778" s="56">
        <f>'[2]Изложницы без бурта'!H778</f>
        <v>0</v>
      </c>
      <c r="AK778" s="56">
        <f>'[2]Изложницы без бурта'!I778</f>
        <v>0</v>
      </c>
      <c r="AL778" s="56" t="s">
        <v>636</v>
      </c>
      <c r="AM778" s="56">
        <f>'[2]Изложницы без бурта'!K778</f>
        <v>0</v>
      </c>
    </row>
    <row r="779" spans="28:39" x14ac:dyDescent="0.25">
      <c r="AB779" s="253" t="str">
        <f t="shared" si="28"/>
        <v/>
      </c>
      <c r="AC779" s="254">
        <f>IF(COUNTIF(AD$78:AD779,AD779)=1,MAX(AC$78:AC778)+1,"")</f>
        <v>71</v>
      </c>
      <c r="AD779" s="215">
        <f>'[2]Изложницы без бурта'!B779</f>
        <v>265</v>
      </c>
      <c r="AE779" s="215">
        <f>'[2]Изложницы без бурта'!C779</f>
        <v>215</v>
      </c>
      <c r="AF779" s="56">
        <f>'[2]Изложницы без бурта'!D779</f>
        <v>375</v>
      </c>
      <c r="AG779" s="56">
        <f>'[2]Изложницы без бурта'!E779</f>
        <v>450</v>
      </c>
      <c r="AH779" s="56" t="str">
        <f>'[2]Изложницы без бурта'!F779</f>
        <v>10.246092 - 2</v>
      </c>
      <c r="AI779" s="56">
        <f>'[2]Изложницы без бурта'!G779</f>
        <v>0</v>
      </c>
      <c r="AJ779" s="56">
        <f>'[2]Изложницы без бурта'!H779</f>
        <v>0</v>
      </c>
      <c r="AK779" s="56">
        <f>'[2]Изложницы без бурта'!I779</f>
        <v>0</v>
      </c>
      <c r="AL779" s="56" t="s">
        <v>637</v>
      </c>
      <c r="AM779" s="56">
        <f>'[2]Изложницы без бурта'!K779</f>
        <v>0</v>
      </c>
    </row>
    <row r="780" spans="28:39" x14ac:dyDescent="0.25">
      <c r="AB780" s="253" t="str">
        <f t="shared" si="28"/>
        <v/>
      </c>
      <c r="AC780" s="254" t="str">
        <f>IF(COUNTIF(AD$78:AD780,AD780)=1,MAX(AC$78:AC779)+1,"")</f>
        <v/>
      </c>
      <c r="AD780" s="215">
        <f>'[2]Изложницы без бурта'!B780</f>
        <v>265</v>
      </c>
      <c r="AE780" s="215">
        <f>'[2]Изложницы без бурта'!C780</f>
        <v>215</v>
      </c>
      <c r="AF780" s="56">
        <f>'[2]Изложницы без бурта'!D780</f>
        <v>375</v>
      </c>
      <c r="AG780" s="56">
        <f>'[2]Изложницы без бурта'!E780</f>
        <v>450</v>
      </c>
      <c r="AH780" s="56" t="str">
        <f>'[2]Изложницы без бурта'!F780</f>
        <v>10.246092 - 2</v>
      </c>
      <c r="AI780" s="56">
        <f>'[2]Изложницы без бурта'!G780</f>
        <v>0</v>
      </c>
      <c r="AJ780" s="56">
        <f>'[2]Изложницы без бурта'!H780</f>
        <v>0</v>
      </c>
      <c r="AK780" s="56">
        <f>'[2]Изложницы без бурта'!I780</f>
        <v>0</v>
      </c>
      <c r="AL780" s="56" t="s">
        <v>637</v>
      </c>
      <c r="AM780" s="56">
        <f>'[2]Изложницы без бурта'!K780</f>
        <v>0</v>
      </c>
    </row>
    <row r="781" spans="28:39" x14ac:dyDescent="0.25">
      <c r="AB781" s="253" t="str">
        <f t="shared" si="28"/>
        <v/>
      </c>
      <c r="AC781" s="254" t="str">
        <f>IF(COUNTIF(AD$78:AD781,AD781)=1,MAX(AC$78:AC780)+1,"")</f>
        <v/>
      </c>
      <c r="AD781" s="215">
        <f>'[2]Изложницы без бурта'!B781</f>
        <v>265</v>
      </c>
      <c r="AE781" s="215">
        <f>'[2]Изложницы без бурта'!C781</f>
        <v>378</v>
      </c>
      <c r="AF781" s="56">
        <f>'[2]Изложницы без бурта'!D781</f>
        <v>360</v>
      </c>
      <c r="AG781" s="56">
        <f>'[2]Изложницы без бурта'!E781</f>
        <v>450</v>
      </c>
      <c r="AH781" s="56" t="str">
        <f>'[2]Изложницы без бурта'!F781</f>
        <v>72.11874 - 18</v>
      </c>
      <c r="AI781" s="56">
        <f>'[2]Изложницы без бурта'!G781</f>
        <v>0</v>
      </c>
      <c r="AJ781" s="56">
        <f>'[2]Изложницы без бурта'!H781</f>
        <v>0</v>
      </c>
      <c r="AK781" s="56">
        <f>'[2]Изложницы без бурта'!I781</f>
        <v>0</v>
      </c>
      <c r="AL781" s="56" t="s">
        <v>637</v>
      </c>
      <c r="AM781" s="56">
        <f>'[2]Изложницы без бурта'!K781</f>
        <v>0</v>
      </c>
    </row>
    <row r="782" spans="28:39" x14ac:dyDescent="0.25">
      <c r="AB782" s="253" t="str">
        <f t="shared" si="28"/>
        <v/>
      </c>
      <c r="AC782" s="254" t="str">
        <f>IF(COUNTIF(AD$78:AD782,AD782)=1,MAX(AC$78:AC781)+1,"")</f>
        <v/>
      </c>
      <c r="AD782" s="215">
        <f>'[2]Изложницы без бурта'!B782</f>
        <v>265</v>
      </c>
      <c r="AE782" s="215">
        <f>'[2]Изложницы без бурта'!C782</f>
        <v>540</v>
      </c>
      <c r="AF782" s="56">
        <f>'[2]Изложницы без бурта'!D782</f>
        <v>415</v>
      </c>
      <c r="AG782" s="56">
        <f>'[2]Изложницы без бурта'!E782</f>
        <v>400</v>
      </c>
      <c r="AH782" s="56" t="str">
        <f>'[2]Изложницы без бурта'!F782</f>
        <v>10.243375 - 1</v>
      </c>
      <c r="AI782" s="56">
        <f>'[2]Изложницы без бурта'!G782</f>
        <v>0</v>
      </c>
      <c r="AJ782" s="56">
        <f>'[2]Изложницы без бурта'!H782</f>
        <v>0</v>
      </c>
      <c r="AK782" s="56">
        <f>'[2]Изложницы без бурта'!I782</f>
        <v>0</v>
      </c>
      <c r="AL782" s="56" t="s">
        <v>637</v>
      </c>
      <c r="AM782" s="56">
        <f>'[2]Изложницы без бурта'!K782</f>
        <v>0</v>
      </c>
    </row>
    <row r="783" spans="28:39" x14ac:dyDescent="0.25">
      <c r="AB783" s="253" t="str">
        <f t="shared" si="28"/>
        <v/>
      </c>
      <c r="AC783" s="254">
        <f>IF(COUNTIF(AD$78:AD783,AD783)=1,MAX(AC$78:AC782)+1,"")</f>
        <v>72</v>
      </c>
      <c r="AD783" s="215">
        <f>'[2]Изложницы без бурта'!B783</f>
        <v>267.5</v>
      </c>
      <c r="AE783" s="215">
        <f>'[2]Изложницы без бурта'!C783</f>
        <v>318</v>
      </c>
      <c r="AF783" s="56">
        <f>'[2]Изложницы без бурта'!D783</f>
        <v>375</v>
      </c>
      <c r="AG783" s="56">
        <f>'[2]Изложницы без бурта'!E783</f>
        <v>450</v>
      </c>
      <c r="AH783" s="56" t="str">
        <f>'[2]Изложницы без бурта'!F783</f>
        <v>72.11873 - 19</v>
      </c>
      <c r="AI783" s="56">
        <f>'[2]Изложницы без бурта'!G783</f>
        <v>0</v>
      </c>
      <c r="AJ783" s="56">
        <f>'[2]Изложницы без бурта'!H783</f>
        <v>0</v>
      </c>
      <c r="AK783" s="56">
        <f>'[2]Изложницы без бурта'!I783</f>
        <v>0</v>
      </c>
      <c r="AL783" s="56" t="s">
        <v>638</v>
      </c>
      <c r="AM783" s="56">
        <f>'[2]Изложницы без бурта'!K783</f>
        <v>0</v>
      </c>
    </row>
    <row r="784" spans="28:39" x14ac:dyDescent="0.25">
      <c r="AB784" s="253" t="str">
        <f t="shared" si="28"/>
        <v/>
      </c>
      <c r="AC784" s="254" t="str">
        <f>IF(COUNTIF(AD$78:AD784,AD784)=1,MAX(AC$78:AC783)+1,"")</f>
        <v/>
      </c>
      <c r="AD784" s="215">
        <f>'[2]Изложницы без бурта'!B784</f>
        <v>267.5</v>
      </c>
      <c r="AE784" s="215">
        <f>'[2]Изложницы без бурта'!C784</f>
        <v>500</v>
      </c>
      <c r="AF784" s="56">
        <f>'[2]Изложницы без бурта'!D784</f>
        <v>360</v>
      </c>
      <c r="AG784" s="56">
        <f>'[2]Изложницы без бурта'!E784</f>
        <v>400</v>
      </c>
      <c r="AH784" s="56" t="str">
        <f>'[2]Изложницы без бурта'!F784</f>
        <v>72.23398 - 19</v>
      </c>
      <c r="AI784" s="56">
        <f>'[2]Изложницы без бурта'!G784</f>
        <v>7260040</v>
      </c>
      <c r="AJ784" s="56">
        <f>'[2]Изложницы без бурта'!H784</f>
        <v>0</v>
      </c>
      <c r="AK784" s="56">
        <f>'[2]Изложницы без бурта'!I784</f>
        <v>0</v>
      </c>
      <c r="AL784" s="56" t="s">
        <v>638</v>
      </c>
      <c r="AM784" s="56">
        <f>'[2]Изложницы без бурта'!K784</f>
        <v>0</v>
      </c>
    </row>
    <row r="785" spans="28:39" x14ac:dyDescent="0.25">
      <c r="AB785" s="253" t="str">
        <f t="shared" si="28"/>
        <v/>
      </c>
      <c r="AC785" s="254">
        <f>IF(COUNTIF(AD$78:AD785,AD785)=1,MAX(AC$78:AC784)+1,"")</f>
        <v>73</v>
      </c>
      <c r="AD785" s="215">
        <f>'[2]Изложницы без бурта'!B785</f>
        <v>270</v>
      </c>
      <c r="AE785" s="215">
        <f>'[2]Изложницы без бурта'!C785</f>
        <v>540</v>
      </c>
      <c r="AF785" s="56">
        <f>'[2]Изложницы без бурта'!D785</f>
        <v>415</v>
      </c>
      <c r="AG785" s="56">
        <f>'[2]Изложницы без бурта'!E785</f>
        <v>400</v>
      </c>
      <c r="AH785" s="56" t="str">
        <f>'[2]Изложницы без бурта'!F785</f>
        <v>10.243375 - 3</v>
      </c>
      <c r="AI785" s="56">
        <f>'[2]Изложницы без бурта'!G785</f>
        <v>7260041</v>
      </c>
      <c r="AJ785" s="56">
        <f>'[2]Изложницы без бурта'!H785</f>
        <v>0</v>
      </c>
      <c r="AK785" s="56">
        <f>'[2]Изложницы без бурта'!I785</f>
        <v>0</v>
      </c>
      <c r="AL785" s="56" t="s">
        <v>639</v>
      </c>
      <c r="AM785" s="56">
        <f>'[2]Изложницы без бурта'!K785</f>
        <v>0</v>
      </c>
    </row>
    <row r="786" spans="28:39" x14ac:dyDescent="0.25">
      <c r="AB786" s="253" t="str">
        <f t="shared" si="28"/>
        <v/>
      </c>
      <c r="AC786" s="254" t="str">
        <f>IF(COUNTIF(AD$78:AD786,AD786)=1,MAX(AC$78:AC785)+1,"")</f>
        <v/>
      </c>
      <c r="AD786" s="215">
        <f>'[2]Изложницы без бурта'!B786</f>
        <v>270</v>
      </c>
      <c r="AE786" s="215">
        <f>'[2]Изложницы без бурта'!C786</f>
        <v>315</v>
      </c>
      <c r="AF786" s="56">
        <f>'[2]Изложницы без бурта'!D786</f>
        <v>360</v>
      </c>
      <c r="AG786" s="56">
        <f>'[2]Изложницы без бурта'!E786</f>
        <v>450</v>
      </c>
      <c r="AH786" s="56" t="str">
        <f>'[2]Изложницы без бурта'!F786</f>
        <v>72.11873 - 20</v>
      </c>
      <c r="AI786" s="56">
        <f>'[2]Изложницы без бурта'!G786</f>
        <v>0</v>
      </c>
      <c r="AJ786" s="56">
        <f>'[2]Изложницы без бурта'!H786</f>
        <v>0</v>
      </c>
      <c r="AK786" s="56">
        <f>'[2]Изложницы без бурта'!I786</f>
        <v>0</v>
      </c>
      <c r="AL786" s="56" t="s">
        <v>639</v>
      </c>
      <c r="AM786" s="56">
        <f>'[2]Изложницы без бурта'!K786</f>
        <v>0</v>
      </c>
    </row>
    <row r="787" spans="28:39" x14ac:dyDescent="0.25">
      <c r="AB787" s="253" t="str">
        <f t="shared" si="28"/>
        <v/>
      </c>
      <c r="AC787" s="254" t="str">
        <f>IF(COUNTIF(AD$78:AD787,AD787)=1,MAX(AC$78:AC786)+1,"")</f>
        <v/>
      </c>
      <c r="AD787" s="215">
        <f>'[2]Изложницы без бурта'!B787</f>
        <v>270</v>
      </c>
      <c r="AE787" s="215">
        <f>'[2]Изложницы без бурта'!C787</f>
        <v>318</v>
      </c>
      <c r="AF787" s="56">
        <f>'[2]Изложницы без бурта'!D787</f>
        <v>360</v>
      </c>
      <c r="AG787" s="56">
        <f>'[2]Изложницы без бурта'!E787</f>
        <v>450</v>
      </c>
      <c r="AH787" s="56" t="str">
        <f>'[2]Изложницы без бурта'!F787</f>
        <v>72.11873 - 20</v>
      </c>
      <c r="AI787" s="56">
        <f>'[2]Изложницы без бурта'!G787</f>
        <v>0</v>
      </c>
      <c r="AJ787" s="56">
        <f>'[2]Изложницы без бурта'!H787</f>
        <v>0</v>
      </c>
      <c r="AK787" s="56">
        <f>'[2]Изложницы без бурта'!I787</f>
        <v>0</v>
      </c>
      <c r="AL787" s="56" t="s">
        <v>639</v>
      </c>
      <c r="AM787" s="56">
        <f>'[2]Изложницы без бурта'!K787</f>
        <v>0</v>
      </c>
    </row>
    <row r="788" spans="28:39" x14ac:dyDescent="0.25">
      <c r="AB788" s="253" t="str">
        <f t="shared" si="28"/>
        <v/>
      </c>
      <c r="AC788" s="254" t="str">
        <f>IF(COUNTIF(AD$78:AD788,AD788)=1,MAX(AC$78:AC787)+1,"")</f>
        <v/>
      </c>
      <c r="AD788" s="215">
        <f>'[2]Изложницы без бурта'!B788</f>
        <v>270</v>
      </c>
      <c r="AE788" s="215">
        <f>'[2]Изложницы без бурта'!C788</f>
        <v>260</v>
      </c>
      <c r="AF788" s="56">
        <f>'[2]Изложницы без бурта'!D788</f>
        <v>360</v>
      </c>
      <c r="AG788" s="56">
        <f>'[2]Изложницы без бурта'!E788</f>
        <v>450</v>
      </c>
      <c r="AH788" s="56" t="str">
        <f>'[2]Изложницы без бурта'!F788</f>
        <v>72.11872 - 20</v>
      </c>
      <c r="AI788" s="56">
        <f>'[2]Изложницы без бурта'!G788</f>
        <v>0</v>
      </c>
      <c r="AJ788" s="56">
        <f>'[2]Изложницы без бурта'!H788</f>
        <v>0</v>
      </c>
      <c r="AK788" s="56">
        <f>'[2]Изложницы без бурта'!I788</f>
        <v>0</v>
      </c>
      <c r="AL788" s="56" t="s">
        <v>639</v>
      </c>
      <c r="AM788" s="56">
        <f>'[2]Изложницы без бурта'!K788</f>
        <v>0</v>
      </c>
    </row>
    <row r="789" spans="28:39" x14ac:dyDescent="0.25">
      <c r="AB789" s="253" t="str">
        <f t="shared" si="28"/>
        <v/>
      </c>
      <c r="AC789" s="254">
        <f>IF(COUNTIF(AD$78:AD789,AD789)=1,MAX(AC$78:AC788)+1,"")</f>
        <v>74</v>
      </c>
      <c r="AD789" s="215">
        <f>'[2]Изложницы без бурта'!B789</f>
        <v>275</v>
      </c>
      <c r="AE789" s="215">
        <f>'[2]Изложницы без бурта'!C789</f>
        <v>320</v>
      </c>
      <c r="AF789" s="56">
        <f>'[2]Изложницы без бурта'!D789</f>
        <v>360</v>
      </c>
      <c r="AG789" s="56">
        <f>'[2]Изложницы без бурта'!E789</f>
        <v>450</v>
      </c>
      <c r="AH789" s="56" t="str">
        <f>'[2]Изложницы без бурта'!F789</f>
        <v>72.11873 - 22</v>
      </c>
      <c r="AI789" s="56">
        <f>'[2]Изложницы без бурта'!G789</f>
        <v>0</v>
      </c>
      <c r="AJ789" s="56">
        <f>'[2]Изложницы без бурта'!H789</f>
        <v>0</v>
      </c>
      <c r="AK789" s="56">
        <f>'[2]Изложницы без бурта'!I789</f>
        <v>0</v>
      </c>
      <c r="AL789" s="56" t="s">
        <v>640</v>
      </c>
      <c r="AM789" s="56">
        <f>'[2]Изложницы без бурта'!K789</f>
        <v>0</v>
      </c>
    </row>
    <row r="790" spans="28:39" x14ac:dyDescent="0.25">
      <c r="AB790" s="253" t="str">
        <f t="shared" si="28"/>
        <v/>
      </c>
      <c r="AC790" s="254" t="str">
        <f>IF(COUNTIF(AD$78:AD790,AD790)=1,MAX(AC$78:AC789)+1,"")</f>
        <v/>
      </c>
      <c r="AD790" s="215">
        <f>'[2]Изложницы без бурта'!B790</f>
        <v>275</v>
      </c>
      <c r="AE790" s="215">
        <f>'[2]Изложницы без бурта'!C790</f>
        <v>380</v>
      </c>
      <c r="AF790" s="56">
        <f>'[2]Изложницы без бурта'!D790</f>
        <v>360</v>
      </c>
      <c r="AG790" s="56">
        <f>'[2]Изложницы без бурта'!E790</f>
        <v>450</v>
      </c>
      <c r="AH790" s="56" t="str">
        <f>'[2]Изложницы без бурта'!F790</f>
        <v>72.11873 - 22</v>
      </c>
      <c r="AI790" s="56">
        <f>'[2]Изложницы без бурта'!G790</f>
        <v>0</v>
      </c>
      <c r="AJ790" s="56">
        <f>'[2]Изложницы без бурта'!H790</f>
        <v>0</v>
      </c>
      <c r="AK790" s="56">
        <f>'[2]Изложницы без бурта'!I790</f>
        <v>0</v>
      </c>
      <c r="AL790" s="56" t="s">
        <v>640</v>
      </c>
      <c r="AM790" s="56">
        <f>'[2]Изложницы без бурта'!K790</f>
        <v>0</v>
      </c>
    </row>
    <row r="791" spans="28:39" x14ac:dyDescent="0.25">
      <c r="AB791" s="253" t="str">
        <f t="shared" si="28"/>
        <v/>
      </c>
      <c r="AC791" s="254" t="str">
        <f>IF(COUNTIF(AD$78:AD791,AD791)=1,MAX(AC$78:AC790)+1,"")</f>
        <v/>
      </c>
      <c r="AD791" s="215">
        <f>'[2]Изложницы без бурта'!B791</f>
        <v>275</v>
      </c>
      <c r="AE791" s="215">
        <f>'[2]Изложницы без бурта'!C791</f>
        <v>258</v>
      </c>
      <c r="AF791" s="56">
        <f>'[2]Изложницы без бурта'!D791</f>
        <v>375</v>
      </c>
      <c r="AG791" s="56">
        <f>'[2]Изложницы без бурта'!E791</f>
        <v>450</v>
      </c>
      <c r="AH791" s="56" t="str">
        <f>'[2]Изложницы без бурта'!F791</f>
        <v>72.11872 - 22</v>
      </c>
      <c r="AI791" s="56">
        <f>'[2]Изложницы без бурта'!G791</f>
        <v>0</v>
      </c>
      <c r="AJ791" s="56">
        <f>'[2]Изложницы без бурта'!H791</f>
        <v>0</v>
      </c>
      <c r="AK791" s="56">
        <f>'[2]Изложницы без бурта'!I791</f>
        <v>0</v>
      </c>
      <c r="AL791" s="56" t="s">
        <v>640</v>
      </c>
      <c r="AM791" s="56">
        <f>'[2]Изложницы без бурта'!K791</f>
        <v>0</v>
      </c>
    </row>
    <row r="792" spans="28:39" x14ac:dyDescent="0.25">
      <c r="AB792" s="253" t="str">
        <f t="shared" si="28"/>
        <v/>
      </c>
      <c r="AC792" s="254" t="str">
        <f>IF(COUNTIF(AD$78:AD792,AD792)=1,MAX(AC$78:AC791)+1,"")</f>
        <v/>
      </c>
      <c r="AD792" s="215">
        <f>'[2]Изложницы без бурта'!B792</f>
        <v>275</v>
      </c>
      <c r="AE792" s="215">
        <f>'[2]Изложницы без бурта'!C792</f>
        <v>260</v>
      </c>
      <c r="AF792" s="56">
        <f>'[2]Изложницы без бурта'!D792</f>
        <v>375</v>
      </c>
      <c r="AG792" s="56">
        <f>'[2]Изложницы без бурта'!E792</f>
        <v>450</v>
      </c>
      <c r="AH792" s="56" t="str">
        <f>'[2]Изложницы без бурта'!F792</f>
        <v>72.11872 - 22</v>
      </c>
      <c r="AI792" s="56">
        <f>'[2]Изложницы без бурта'!G792</f>
        <v>0</v>
      </c>
      <c r="AJ792" s="56">
        <f>'[2]Изложницы без бурта'!H792</f>
        <v>0</v>
      </c>
      <c r="AK792" s="56">
        <f>'[2]Изложницы без бурта'!I792</f>
        <v>0</v>
      </c>
      <c r="AL792" s="56" t="s">
        <v>641</v>
      </c>
      <c r="AM792" s="56">
        <f>'[2]Изложницы без бурта'!K792</f>
        <v>0</v>
      </c>
    </row>
    <row r="793" spans="28:39" x14ac:dyDescent="0.25">
      <c r="AB793" s="253" t="str">
        <f t="shared" si="28"/>
        <v/>
      </c>
      <c r="AC793" s="254" t="str">
        <f>IF(COUNTIF(AD$78:AD793,AD793)=1,MAX(AC$78:AC792)+1,"")</f>
        <v/>
      </c>
      <c r="AD793" s="215">
        <f>'[2]Изложницы без бурта'!B793</f>
        <v>275</v>
      </c>
      <c r="AE793" s="215">
        <f>'[2]Изложницы без бурта'!C793</f>
        <v>257</v>
      </c>
      <c r="AF793" s="56">
        <f>'[2]Изложницы без бурта'!D793</f>
        <v>360</v>
      </c>
      <c r="AG793" s="56">
        <f>'[2]Изложницы без бурта'!E793</f>
        <v>450</v>
      </c>
      <c r="AH793" s="56" t="str">
        <f>'[2]Изложницы без бурта'!F793</f>
        <v>72.11872 - 22</v>
      </c>
      <c r="AI793" s="56">
        <f>'[2]Изложницы без бурта'!G793</f>
        <v>0</v>
      </c>
      <c r="AJ793" s="56">
        <f>'[2]Изложницы без бурта'!H793</f>
        <v>0</v>
      </c>
      <c r="AK793" s="56">
        <f>'[2]Изложницы без бурта'!I793</f>
        <v>0</v>
      </c>
      <c r="AL793" s="56" t="s">
        <v>641</v>
      </c>
      <c r="AM793" s="56">
        <f>'[2]Изложницы без бурта'!K793</f>
        <v>0</v>
      </c>
    </row>
    <row r="794" spans="28:39" x14ac:dyDescent="0.25">
      <c r="AB794" s="253" t="str">
        <f t="shared" si="28"/>
        <v/>
      </c>
      <c r="AC794" s="254" t="str">
        <f>IF(COUNTIF(AD$78:AD794,AD794)=1,MAX(AC$78:AC793)+1,"")</f>
        <v/>
      </c>
      <c r="AD794" s="215">
        <f>'[2]Изложницы без бурта'!B794</f>
        <v>275</v>
      </c>
      <c r="AE794" s="215">
        <f>'[2]Изложницы без бурта'!C794</f>
        <v>260</v>
      </c>
      <c r="AF794" s="56">
        <f>'[2]Изложницы без бурта'!D794</f>
        <v>375</v>
      </c>
      <c r="AG794" s="56">
        <f>'[2]Изложницы без бурта'!E794</f>
        <v>450</v>
      </c>
      <c r="AH794" s="56" t="str">
        <f>'[2]Изложницы без бурта'!F794</f>
        <v>72.11872 - 22</v>
      </c>
      <c r="AI794" s="56">
        <f>'[2]Изложницы без бурта'!G794</f>
        <v>0</v>
      </c>
      <c r="AJ794" s="56">
        <f>'[2]Изложницы без бурта'!H794</f>
        <v>0</v>
      </c>
      <c r="AK794" s="56">
        <f>'[2]Изложницы без бурта'!I794</f>
        <v>0</v>
      </c>
      <c r="AL794" s="56" t="s">
        <v>641</v>
      </c>
      <c r="AM794" s="56">
        <f>'[2]Изложницы без бурта'!K794</f>
        <v>0</v>
      </c>
    </row>
    <row r="795" spans="28:39" x14ac:dyDescent="0.25">
      <c r="AB795" s="253" t="str">
        <f t="shared" si="28"/>
        <v/>
      </c>
      <c r="AC795" s="254" t="str">
        <f>IF(COUNTIF(AD$78:AD795,AD795)=1,MAX(AC$78:AC794)+1,"")</f>
        <v/>
      </c>
      <c r="AD795" s="215">
        <f>'[2]Изложницы без бурта'!B795</f>
        <v>275</v>
      </c>
      <c r="AE795" s="215">
        <f>'[2]Изложницы без бурта'!C795</f>
        <v>213</v>
      </c>
      <c r="AF795" s="56">
        <f>'[2]Изложницы без бурта'!D795</f>
        <v>375</v>
      </c>
      <c r="AG795" s="56">
        <f>'[2]Изложницы без бурта'!E795</f>
        <v>450</v>
      </c>
      <c r="AH795" s="56" t="str">
        <f>'[2]Изложницы без бурта'!F795</f>
        <v>10.246092 - 6</v>
      </c>
      <c r="AI795" s="56">
        <f>'[2]Изложницы без бурта'!G795</f>
        <v>0</v>
      </c>
      <c r="AJ795" s="56">
        <f>'[2]Изложницы без бурта'!H795</f>
        <v>0</v>
      </c>
      <c r="AK795" s="56">
        <f>'[2]Изложницы без бурта'!I795</f>
        <v>0</v>
      </c>
      <c r="AL795" s="56" t="s">
        <v>641</v>
      </c>
      <c r="AM795" s="56">
        <f>'[2]Изложницы без бурта'!K795</f>
        <v>0</v>
      </c>
    </row>
    <row r="796" spans="28:39" x14ac:dyDescent="0.25">
      <c r="AB796" s="253" t="str">
        <f t="shared" si="28"/>
        <v/>
      </c>
      <c r="AC796" s="254" t="str">
        <f>IF(COUNTIF(AD$78:AD796,AD796)=1,MAX(AC$78:AC795)+1,"")</f>
        <v/>
      </c>
      <c r="AD796" s="215">
        <f>'[2]Изложницы без бурта'!B796</f>
        <v>275</v>
      </c>
      <c r="AE796" s="215">
        <f>'[2]Изложницы без бурта'!C796</f>
        <v>317</v>
      </c>
      <c r="AF796" s="56">
        <f>'[2]Изложницы без бурта'!D796</f>
        <v>360</v>
      </c>
      <c r="AG796" s="56">
        <f>'[2]Изложницы без бурта'!E796</f>
        <v>450</v>
      </c>
      <c r="AH796" s="56" t="str">
        <f>'[2]Изложницы без бурта'!F796</f>
        <v>72.11873 - 22</v>
      </c>
      <c r="AI796" s="56">
        <f>'[2]Изложницы без бурта'!G796</f>
        <v>0</v>
      </c>
      <c r="AJ796" s="56">
        <f>'[2]Изложницы без бурта'!H796</f>
        <v>0</v>
      </c>
      <c r="AK796" s="56">
        <f>'[2]Изложницы без бурта'!I796</f>
        <v>0</v>
      </c>
      <c r="AL796" s="56" t="s">
        <v>641</v>
      </c>
      <c r="AM796" s="56">
        <f>'[2]Изложницы без бурта'!K796</f>
        <v>0</v>
      </c>
    </row>
    <row r="797" spans="28:39" x14ac:dyDescent="0.25">
      <c r="AB797" s="253" t="str">
        <f t="shared" si="28"/>
        <v/>
      </c>
      <c r="AC797" s="254" t="str">
        <f>IF(COUNTIF(AD$78:AD797,AD797)=1,MAX(AC$78:AC796)+1,"")</f>
        <v/>
      </c>
      <c r="AD797" s="215">
        <f>'[2]Изложницы без бурта'!B797</f>
        <v>275</v>
      </c>
      <c r="AE797" s="215">
        <f>'[2]Изложницы без бурта'!C797</f>
        <v>495</v>
      </c>
      <c r="AF797" s="56">
        <f>'[2]Изложницы без бурта'!D797</f>
        <v>360</v>
      </c>
      <c r="AG797" s="56">
        <f>'[2]Изложницы без бурта'!E797</f>
        <v>400</v>
      </c>
      <c r="AH797" s="56" t="str">
        <f>'[2]Изложницы без бурта'!F797</f>
        <v>72.23398 - 22</v>
      </c>
      <c r="AI797" s="56">
        <f>'[2]Изложницы без бурта'!G797</f>
        <v>0</v>
      </c>
      <c r="AJ797" s="56">
        <f>'[2]Изложницы без бурта'!H797</f>
        <v>0</v>
      </c>
      <c r="AK797" s="56">
        <f>'[2]Изложницы без бурта'!I797</f>
        <v>0</v>
      </c>
      <c r="AL797" s="56" t="s">
        <v>641</v>
      </c>
      <c r="AM797" s="56">
        <f>'[2]Изложницы без бурта'!K797</f>
        <v>0</v>
      </c>
    </row>
    <row r="798" spans="28:39" x14ac:dyDescent="0.25">
      <c r="AB798" s="253" t="str">
        <f t="shared" si="28"/>
        <v/>
      </c>
      <c r="AC798" s="254" t="str">
        <f>IF(COUNTIF(AD$78:AD798,AD798)=1,MAX(AC$78:AC797)+1,"")</f>
        <v/>
      </c>
      <c r="AD798" s="215">
        <f>'[2]Изложницы без бурта'!B798</f>
        <v>275</v>
      </c>
      <c r="AE798" s="215">
        <f>'[2]Изложницы без бурта'!C798</f>
        <v>260</v>
      </c>
      <c r="AF798" s="56">
        <f>'[2]Изложницы без бурта'!D798</f>
        <v>360</v>
      </c>
      <c r="AG798" s="56">
        <f>'[2]Изложницы без бурта'!E798</f>
        <v>450</v>
      </c>
      <c r="AH798" s="56" t="str">
        <f>'[2]Изложницы без бурта'!F798</f>
        <v>72.11872 - 22</v>
      </c>
      <c r="AI798" s="56">
        <f>'[2]Изложницы без бурта'!G798</f>
        <v>0</v>
      </c>
      <c r="AJ798" s="56">
        <f>'[2]Изложницы без бурта'!H798</f>
        <v>0</v>
      </c>
      <c r="AK798" s="56">
        <f>'[2]Изложницы без бурта'!I798</f>
        <v>0</v>
      </c>
      <c r="AL798" s="56" t="s">
        <v>641</v>
      </c>
      <c r="AM798" s="56">
        <f>'[2]Изложницы без бурта'!K798</f>
        <v>0</v>
      </c>
    </row>
    <row r="799" spans="28:39" x14ac:dyDescent="0.25">
      <c r="AB799" s="253" t="str">
        <f t="shared" si="28"/>
        <v/>
      </c>
      <c r="AC799" s="254" t="str">
        <f>IF(COUNTIF(AD$78:AD799,AD799)=1,MAX(AC$78:AC798)+1,"")</f>
        <v/>
      </c>
      <c r="AD799" s="215">
        <f>'[2]Изложницы без бурта'!B799</f>
        <v>275</v>
      </c>
      <c r="AE799" s="215">
        <f>'[2]Изложницы без бурта'!C799</f>
        <v>260</v>
      </c>
      <c r="AF799" s="56">
        <f>'[2]Изложницы без бурта'!D799</f>
        <v>375</v>
      </c>
      <c r="AG799" s="56">
        <f>'[2]Изложницы без бурта'!E799</f>
        <v>450</v>
      </c>
      <c r="AH799" s="56" t="str">
        <f>'[2]Изложницы без бурта'!F799</f>
        <v>72.11872 - 22</v>
      </c>
      <c r="AI799" s="56">
        <f>'[2]Изложницы без бурта'!G799</f>
        <v>0</v>
      </c>
      <c r="AJ799" s="56">
        <f>'[2]Изложницы без бурта'!H799</f>
        <v>0</v>
      </c>
      <c r="AK799" s="56">
        <f>'[2]Изложницы без бурта'!I799</f>
        <v>0</v>
      </c>
      <c r="AL799" s="56" t="s">
        <v>641</v>
      </c>
      <c r="AM799" s="56">
        <f>'[2]Изложницы без бурта'!K799</f>
        <v>0</v>
      </c>
    </row>
    <row r="800" spans="28:39" x14ac:dyDescent="0.25">
      <c r="AB800" s="253" t="str">
        <f t="shared" si="28"/>
        <v/>
      </c>
      <c r="AC800" s="254" t="str">
        <f>IF(COUNTIF(AD$78:AD800,AD800)=1,MAX(AC$78:AC799)+1,"")</f>
        <v/>
      </c>
      <c r="AD800" s="215">
        <f>'[2]Изложницы без бурта'!B800</f>
        <v>275</v>
      </c>
      <c r="AE800" s="215">
        <f>'[2]Изложницы без бурта'!C800</f>
        <v>375</v>
      </c>
      <c r="AF800" s="56">
        <f>'[2]Изложницы без бурта'!D800</f>
        <v>360</v>
      </c>
      <c r="AG800" s="56">
        <f>'[2]Изложницы без бурта'!E800</f>
        <v>450</v>
      </c>
      <c r="AH800" s="56" t="str">
        <f>'[2]Изложницы без бурта'!F800</f>
        <v>72.11874 - 22</v>
      </c>
      <c r="AI800" s="56">
        <f>'[2]Изложницы без бурта'!G800</f>
        <v>0</v>
      </c>
      <c r="AJ800" s="56">
        <f>'[2]Изложницы без бурта'!H800</f>
        <v>0</v>
      </c>
      <c r="AK800" s="56">
        <f>'[2]Изложницы без бурта'!I800</f>
        <v>0</v>
      </c>
      <c r="AL800" s="56" t="s">
        <v>641</v>
      </c>
      <c r="AM800" s="56">
        <f>'[2]Изложницы без бурта'!K800</f>
        <v>0</v>
      </c>
    </row>
    <row r="801" spans="28:39" x14ac:dyDescent="0.25">
      <c r="AB801" s="253" t="str">
        <f t="shared" si="28"/>
        <v/>
      </c>
      <c r="AC801" s="254">
        <f>IF(COUNTIF(AD$78:AD801,AD801)=1,MAX(AC$78:AC800)+1,"")</f>
        <v>75</v>
      </c>
      <c r="AD801" s="215">
        <f>'[2]Изложницы без бурта'!B801</f>
        <v>277.5</v>
      </c>
      <c r="AE801" s="215">
        <f>'[2]Изложницы без бурта'!C801</f>
        <v>260</v>
      </c>
      <c r="AF801" s="56">
        <f>'[2]Изложницы без бурта'!D801</f>
        <v>375</v>
      </c>
      <c r="AG801" s="56">
        <f>'[2]Изложницы без бурта'!E801</f>
        <v>450</v>
      </c>
      <c r="AH801" s="56" t="str">
        <f>'[2]Изложницы без бурта'!F801</f>
        <v>72.11872 - 23</v>
      </c>
      <c r="AI801" s="56">
        <f>'[2]Изложницы без бурта'!G801</f>
        <v>0</v>
      </c>
      <c r="AJ801" s="56">
        <f>'[2]Изложницы без бурта'!H801</f>
        <v>0</v>
      </c>
      <c r="AK801" s="56">
        <f>'[2]Изложницы без бурта'!I801</f>
        <v>0</v>
      </c>
      <c r="AL801" s="56" t="s">
        <v>641</v>
      </c>
      <c r="AM801" s="56">
        <f>'[2]Изложницы без бурта'!K801</f>
        <v>0</v>
      </c>
    </row>
    <row r="802" spans="28:39" x14ac:dyDescent="0.25">
      <c r="AB802" s="253" t="str">
        <f t="shared" si="28"/>
        <v/>
      </c>
      <c r="AC802" s="254" t="str">
        <f>IF(COUNTIF(AD$78:AD802,AD802)=1,MAX(AC$78:AC801)+1,"")</f>
        <v/>
      </c>
      <c r="AD802" s="215">
        <f>'[2]Изложницы без бурта'!B802</f>
        <v>277.5</v>
      </c>
      <c r="AE802" s="215">
        <f>'[2]Изложницы без бурта'!C802</f>
        <v>260</v>
      </c>
      <c r="AF802" s="56">
        <f>'[2]Изложницы без бурта'!D802</f>
        <v>375</v>
      </c>
      <c r="AG802" s="56">
        <f>'[2]Изложницы без бурта'!E802</f>
        <v>450</v>
      </c>
      <c r="AH802" s="56" t="str">
        <f>'[2]Изложницы без бурта'!F802</f>
        <v>72.11872 - 23</v>
      </c>
      <c r="AI802" s="56">
        <f>'[2]Изложницы без бурта'!G802</f>
        <v>0</v>
      </c>
      <c r="AJ802" s="56">
        <f>'[2]Изложницы без бурта'!H802</f>
        <v>0</v>
      </c>
      <c r="AK802" s="56">
        <f>'[2]Изложницы без бурта'!I802</f>
        <v>0</v>
      </c>
      <c r="AL802" s="56" t="s">
        <v>641</v>
      </c>
      <c r="AM802" s="56">
        <f>'[2]Изложницы без бурта'!K802</f>
        <v>0</v>
      </c>
    </row>
    <row r="803" spans="28:39" x14ac:dyDescent="0.25">
      <c r="AB803" s="253" t="str">
        <f t="shared" si="28"/>
        <v/>
      </c>
      <c r="AC803" s="254" t="str">
        <f>IF(COUNTIF(AD$78:AD803,AD803)=1,MAX(AC$78:AC802)+1,"")</f>
        <v/>
      </c>
      <c r="AD803" s="215">
        <f>'[2]Изложницы без бурта'!B803</f>
        <v>277.5</v>
      </c>
      <c r="AE803" s="215">
        <f>'[2]Изложницы без бурта'!C803</f>
        <v>260</v>
      </c>
      <c r="AF803" s="56">
        <f>'[2]Изложницы без бурта'!D803</f>
        <v>360</v>
      </c>
      <c r="AG803" s="56">
        <f>'[2]Изложницы без бурта'!E803</f>
        <v>450</v>
      </c>
      <c r="AH803" s="56" t="str">
        <f>'[2]Изложницы без бурта'!F803</f>
        <v>72.11872 - 23</v>
      </c>
      <c r="AI803" s="56">
        <f>'[2]Изложницы без бурта'!G803</f>
        <v>0</v>
      </c>
      <c r="AJ803" s="56">
        <f>'[2]Изложницы без бурта'!H803</f>
        <v>0</v>
      </c>
      <c r="AK803" s="56">
        <f>'[2]Изложницы без бурта'!I803</f>
        <v>0</v>
      </c>
      <c r="AL803" s="56" t="s">
        <v>641</v>
      </c>
      <c r="AM803" s="56">
        <f>'[2]Изложницы без бурта'!K803</f>
        <v>0</v>
      </c>
    </row>
    <row r="804" spans="28:39" x14ac:dyDescent="0.25">
      <c r="AB804" s="253" t="str">
        <f t="shared" si="28"/>
        <v/>
      </c>
      <c r="AC804" s="254" t="str">
        <f>IF(COUNTIF(AD$78:AD804,AD804)=1,MAX(AC$78:AC803)+1,"")</f>
        <v/>
      </c>
      <c r="AD804" s="215">
        <f>'[2]Изложницы без бурта'!B804</f>
        <v>277.5</v>
      </c>
      <c r="AE804" s="215">
        <f>'[2]Изложницы без бурта'!C804</f>
        <v>320</v>
      </c>
      <c r="AF804" s="56">
        <f>'[2]Изложницы без бурта'!D804</f>
        <v>360</v>
      </c>
      <c r="AG804" s="56">
        <f>'[2]Изложницы без бурта'!E804</f>
        <v>450</v>
      </c>
      <c r="AH804" s="56" t="str">
        <f>'[2]Изложницы без бурта'!F804</f>
        <v>72.11873 - 23</v>
      </c>
      <c r="AI804" s="56">
        <f>'[2]Изложницы без бурта'!G804</f>
        <v>7260043</v>
      </c>
      <c r="AJ804" s="56">
        <f>'[2]Изложницы без бурта'!H804</f>
        <v>0</v>
      </c>
      <c r="AK804" s="56">
        <f>'[2]Изложницы без бурта'!I804</f>
        <v>0</v>
      </c>
      <c r="AL804" s="56" t="s">
        <v>642</v>
      </c>
      <c r="AM804" s="56">
        <f>'[2]Изложницы без бурта'!K804</f>
        <v>0</v>
      </c>
    </row>
    <row r="805" spans="28:39" x14ac:dyDescent="0.25">
      <c r="AB805" s="253" t="str">
        <f t="shared" si="28"/>
        <v/>
      </c>
      <c r="AC805" s="254">
        <f>IF(COUNTIF(AD$78:AD805,AD805)=1,MAX(AC$78:AC804)+1,"")</f>
        <v>76</v>
      </c>
      <c r="AD805" s="215">
        <f>'[2]Изложницы без бурта'!B805</f>
        <v>280</v>
      </c>
      <c r="AE805" s="215">
        <f>'[2]Изложницы без бурта'!C805</f>
        <v>375</v>
      </c>
      <c r="AF805" s="56">
        <f>'[2]Изложницы без бурта'!D805</f>
        <v>375</v>
      </c>
      <c r="AG805" s="56">
        <f>'[2]Изложницы без бурта'!E805</f>
        <v>450</v>
      </c>
      <c r="AH805" s="56" t="str">
        <f>'[2]Изложницы без бурта'!F805</f>
        <v>72.11874 - 24</v>
      </c>
      <c r="AI805" s="56">
        <f>'[2]Изложницы без бурта'!G805</f>
        <v>0</v>
      </c>
      <c r="AJ805" s="56">
        <f>'[2]Изложницы без бурта'!H805</f>
        <v>0</v>
      </c>
      <c r="AK805" s="56">
        <f>'[2]Изложницы без бурта'!I805</f>
        <v>0</v>
      </c>
      <c r="AL805" s="56" t="s">
        <v>642</v>
      </c>
      <c r="AM805" s="56">
        <f>'[2]Изложницы без бурта'!K805</f>
        <v>0</v>
      </c>
    </row>
    <row r="806" spans="28:39" x14ac:dyDescent="0.25">
      <c r="AB806" s="253" t="str">
        <f t="shared" si="28"/>
        <v/>
      </c>
      <c r="AC806" s="254" t="str">
        <f>IF(COUNTIF(AD$78:AD806,AD806)=1,MAX(AC$78:AC805)+1,"")</f>
        <v/>
      </c>
      <c r="AD806" s="215">
        <f>'[2]Изложницы без бурта'!B806</f>
        <v>280</v>
      </c>
      <c r="AE806" s="215">
        <f>'[2]Изложницы без бурта'!C806</f>
        <v>260</v>
      </c>
      <c r="AF806" s="56">
        <f>'[2]Изложницы без бурта'!D806</f>
        <v>375</v>
      </c>
      <c r="AG806" s="56">
        <f>'[2]Изложницы без бурта'!E806</f>
        <v>450</v>
      </c>
      <c r="AH806" s="56" t="str">
        <f>'[2]Изложницы без бурта'!F806</f>
        <v>72.11872 - 24</v>
      </c>
      <c r="AI806" s="56">
        <f>'[2]Изложницы без бурта'!G806</f>
        <v>0</v>
      </c>
      <c r="AJ806" s="56">
        <f>'[2]Изложницы без бурта'!H806</f>
        <v>0</v>
      </c>
      <c r="AK806" s="56">
        <f>'[2]Изложницы без бурта'!I806</f>
        <v>0</v>
      </c>
      <c r="AL806" s="56" t="s">
        <v>642</v>
      </c>
      <c r="AM806" s="56">
        <f>'[2]Изложницы без бурта'!K806</f>
        <v>0</v>
      </c>
    </row>
    <row r="807" spans="28:39" x14ac:dyDescent="0.25">
      <c r="AB807" s="253" t="str">
        <f t="shared" si="28"/>
        <v/>
      </c>
      <c r="AC807" s="254" t="str">
        <f>IF(COUNTIF(AD$78:AD807,AD807)=1,MAX(AC$78:AC806)+1,"")</f>
        <v/>
      </c>
      <c r="AD807" s="215">
        <f>'[2]Изложницы без бурта'!B807</f>
        <v>280</v>
      </c>
      <c r="AE807" s="215">
        <f>'[2]Изложницы без бурта'!C807</f>
        <v>260</v>
      </c>
      <c r="AF807" s="56">
        <f>'[2]Изложницы без бурта'!D807</f>
        <v>360</v>
      </c>
      <c r="AG807" s="56">
        <f>'[2]Изложницы без бурта'!E807</f>
        <v>450</v>
      </c>
      <c r="AH807" s="56" t="str">
        <f>'[2]Изложницы без бурта'!F807</f>
        <v>72.11872 - 24</v>
      </c>
      <c r="AI807" s="56">
        <f>'[2]Изложницы без бурта'!G807</f>
        <v>0</v>
      </c>
      <c r="AJ807" s="56">
        <f>'[2]Изложницы без бурта'!H807</f>
        <v>0</v>
      </c>
      <c r="AK807" s="56">
        <f>'[2]Изложницы без бурта'!I807</f>
        <v>0</v>
      </c>
      <c r="AL807" s="56" t="s">
        <v>642</v>
      </c>
      <c r="AM807" s="56">
        <f>'[2]Изложницы без бурта'!K807</f>
        <v>0</v>
      </c>
    </row>
    <row r="808" spans="28:39" x14ac:dyDescent="0.25">
      <c r="AB808" s="253" t="str">
        <f t="shared" si="28"/>
        <v/>
      </c>
      <c r="AC808" s="254" t="str">
        <f>IF(COUNTIF(AD$78:AD808,AD808)=1,MAX(AC$78:AC807)+1,"")</f>
        <v/>
      </c>
      <c r="AD808" s="215">
        <f>'[2]Изложницы без бурта'!B808</f>
        <v>280</v>
      </c>
      <c r="AE808" s="215">
        <f>'[2]Изложницы без бурта'!C808</f>
        <v>260</v>
      </c>
      <c r="AF808" s="56">
        <f>'[2]Изложницы без бурта'!D808</f>
        <v>360</v>
      </c>
      <c r="AG808" s="56">
        <f>'[2]Изложницы без бурта'!E808</f>
        <v>450</v>
      </c>
      <c r="AH808" s="56" t="str">
        <f>'[2]Изложницы без бурта'!F808</f>
        <v>72.11872 - 24</v>
      </c>
      <c r="AI808" s="56">
        <f>'[2]Изложницы без бурта'!G808</f>
        <v>0</v>
      </c>
      <c r="AJ808" s="56">
        <f>'[2]Изложницы без бурта'!H808</f>
        <v>0</v>
      </c>
      <c r="AK808" s="56">
        <f>'[2]Изложницы без бурта'!I808</f>
        <v>0</v>
      </c>
      <c r="AL808" s="56" t="s">
        <v>643</v>
      </c>
      <c r="AM808" s="56">
        <f>'[2]Изложницы без бурта'!K808</f>
        <v>0</v>
      </c>
    </row>
    <row r="809" spans="28:39" x14ac:dyDescent="0.25">
      <c r="AB809" s="253" t="str">
        <f t="shared" si="28"/>
        <v/>
      </c>
      <c r="AC809" s="254" t="str">
        <f>IF(COUNTIF(AD$78:AD809,AD809)=1,MAX(AC$78:AC808)+1,"")</f>
        <v/>
      </c>
      <c r="AD809" s="215">
        <f>'[2]Изложницы без бурта'!B809</f>
        <v>280</v>
      </c>
      <c r="AE809" s="215">
        <f>'[2]Изложницы без бурта'!C809</f>
        <v>318</v>
      </c>
      <c r="AF809" s="56">
        <f>'[2]Изложницы без бурта'!D809</f>
        <v>375</v>
      </c>
      <c r="AG809" s="56">
        <f>'[2]Изложницы без бурта'!E809</f>
        <v>450</v>
      </c>
      <c r="AH809" s="56" t="str">
        <f>'[2]Изложницы без бурта'!F809</f>
        <v>72.11873 - 24</v>
      </c>
      <c r="AI809" s="56">
        <f>'[2]Изложницы без бурта'!G809</f>
        <v>0</v>
      </c>
      <c r="AJ809" s="56">
        <f>'[2]Изложницы без бурта'!H809</f>
        <v>0</v>
      </c>
      <c r="AK809" s="56">
        <f>'[2]Изложницы без бурта'!I809</f>
        <v>0</v>
      </c>
      <c r="AL809" s="56" t="s">
        <v>643</v>
      </c>
      <c r="AM809" s="56">
        <f>'[2]Изложницы без бурта'!K809</f>
        <v>0</v>
      </c>
    </row>
    <row r="810" spans="28:39" x14ac:dyDescent="0.25">
      <c r="AB810" s="253" t="str">
        <f t="shared" si="28"/>
        <v/>
      </c>
      <c r="AC810" s="254" t="str">
        <f>IF(COUNTIF(AD$78:AD810,AD810)=1,MAX(AC$78:AC809)+1,"")</f>
        <v/>
      </c>
      <c r="AD810" s="215">
        <f>'[2]Изложницы без бурта'!B810</f>
        <v>280</v>
      </c>
      <c r="AE810" s="215">
        <f>'[2]Изложницы без бурта'!C810</f>
        <v>320</v>
      </c>
      <c r="AF810" s="56">
        <f>'[2]Изложницы без бурта'!D810</f>
        <v>360</v>
      </c>
      <c r="AG810" s="56">
        <f>'[2]Изложницы без бурта'!E810</f>
        <v>450</v>
      </c>
      <c r="AH810" s="56" t="str">
        <f>'[2]Изложницы без бурта'!F810</f>
        <v>72.11873 - 24</v>
      </c>
      <c r="AI810" s="56">
        <f>'[2]Изложницы без бурта'!G810</f>
        <v>0</v>
      </c>
      <c r="AJ810" s="56">
        <f>'[2]Изложницы без бурта'!H810</f>
        <v>0</v>
      </c>
      <c r="AK810" s="56">
        <f>'[2]Изложницы без бурта'!I810</f>
        <v>0</v>
      </c>
      <c r="AL810" s="56" t="s">
        <v>643</v>
      </c>
      <c r="AM810" s="56">
        <f>'[2]Изложницы без бурта'!K810</f>
        <v>0</v>
      </c>
    </row>
    <row r="811" spans="28:39" x14ac:dyDescent="0.25">
      <c r="AB811" s="253" t="str">
        <f t="shared" si="28"/>
        <v/>
      </c>
      <c r="AC811" s="254" t="str">
        <f>IF(COUNTIF(AD$78:AD811,AD811)=1,MAX(AC$78:AC810)+1,"")</f>
        <v/>
      </c>
      <c r="AD811" s="215">
        <f>'[2]Изложницы без бурта'!B811</f>
        <v>280</v>
      </c>
      <c r="AE811" s="215">
        <f>'[2]Изложницы без бурта'!C811</f>
        <v>377</v>
      </c>
      <c r="AF811" s="56">
        <f>'[2]Изложницы без бурта'!D811</f>
        <v>360</v>
      </c>
      <c r="AG811" s="56">
        <f>'[2]Изложницы без бурта'!E811</f>
        <v>450</v>
      </c>
      <c r="AH811" s="56" t="str">
        <f>'[2]Изложницы без бурта'!F811</f>
        <v>72.11874 - 24</v>
      </c>
      <c r="AI811" s="56">
        <f>'[2]Изложницы без бурта'!G811</f>
        <v>0</v>
      </c>
      <c r="AJ811" s="56">
        <f>'[2]Изложницы без бурта'!H811</f>
        <v>0</v>
      </c>
      <c r="AK811" s="56">
        <f>'[2]Изложницы без бурта'!I811</f>
        <v>0</v>
      </c>
      <c r="AL811" s="56" t="s">
        <v>643</v>
      </c>
      <c r="AM811" s="56">
        <f>'[2]Изложницы без бурта'!K811</f>
        <v>0</v>
      </c>
    </row>
    <row r="812" spans="28:39" x14ac:dyDescent="0.25">
      <c r="AB812" s="253" t="str">
        <f t="shared" si="28"/>
        <v/>
      </c>
      <c r="AC812" s="254" t="str">
        <f>IF(COUNTIF(AD$78:AD812,AD812)=1,MAX(AC$78:AC811)+1,"")</f>
        <v/>
      </c>
      <c r="AD812" s="215">
        <f>'[2]Изложницы без бурта'!B812</f>
        <v>280</v>
      </c>
      <c r="AE812" s="215">
        <f>'[2]Изложницы без бурта'!C812</f>
        <v>382</v>
      </c>
      <c r="AF812" s="56">
        <f>'[2]Изложницы без бурта'!D812</f>
        <v>360</v>
      </c>
      <c r="AG812" s="56">
        <f>'[2]Изложницы без бурта'!E812</f>
        <v>450</v>
      </c>
      <c r="AH812" s="56" t="str">
        <f>'[2]Изложницы без бурта'!F812</f>
        <v>72.11874 - 24</v>
      </c>
      <c r="AI812" s="56">
        <f>'[2]Изложницы без бурта'!G812</f>
        <v>0</v>
      </c>
      <c r="AJ812" s="56">
        <f>'[2]Изложницы без бурта'!H812</f>
        <v>0</v>
      </c>
      <c r="AK812" s="56">
        <f>'[2]Изложницы без бурта'!I812</f>
        <v>0</v>
      </c>
      <c r="AL812" s="56" t="s">
        <v>643</v>
      </c>
      <c r="AM812" s="56">
        <f>'[2]Изложницы без бурта'!K812</f>
        <v>0</v>
      </c>
    </row>
    <row r="813" spans="28:39" x14ac:dyDescent="0.25">
      <c r="AB813" s="253" t="str">
        <f t="shared" si="28"/>
        <v/>
      </c>
      <c r="AC813" s="254" t="str">
        <f>IF(COUNTIF(AD$78:AD813,AD813)=1,MAX(AC$78:AC812)+1,"")</f>
        <v/>
      </c>
      <c r="AD813" s="215">
        <f>'[2]Изложницы без бурта'!B813</f>
        <v>280</v>
      </c>
      <c r="AE813" s="215">
        <f>'[2]Изложницы без бурта'!C813</f>
        <v>257</v>
      </c>
      <c r="AF813" s="56">
        <f>'[2]Изложницы без бурта'!D813</f>
        <v>360</v>
      </c>
      <c r="AG813" s="56">
        <f>'[2]Изложницы без бурта'!E813</f>
        <v>450</v>
      </c>
      <c r="AH813" s="56" t="str">
        <f>'[2]Изложницы без бурта'!F813</f>
        <v>72.11872 - 24</v>
      </c>
      <c r="AI813" s="56">
        <f>'[2]Изложницы без бурта'!G813</f>
        <v>0</v>
      </c>
      <c r="AJ813" s="56">
        <f>'[2]Изложницы без бурта'!H813</f>
        <v>0</v>
      </c>
      <c r="AK813" s="56">
        <f>'[2]Изложницы без бурта'!I813</f>
        <v>0</v>
      </c>
      <c r="AL813" s="56" t="s">
        <v>643</v>
      </c>
      <c r="AM813" s="56">
        <f>'[2]Изложницы без бурта'!K813</f>
        <v>0</v>
      </c>
    </row>
    <row r="814" spans="28:39" x14ac:dyDescent="0.25">
      <c r="AB814" s="253" t="str">
        <f t="shared" si="28"/>
        <v/>
      </c>
      <c r="AC814" s="254" t="str">
        <f>IF(COUNTIF(AD$78:AD814,AD814)=1,MAX(AC$78:AC813)+1,"")</f>
        <v/>
      </c>
      <c r="AD814" s="215">
        <f>'[2]Изложницы без бурта'!B814</f>
        <v>280</v>
      </c>
      <c r="AE814" s="215">
        <f>'[2]Изложницы без бурта'!C814</f>
        <v>260</v>
      </c>
      <c r="AF814" s="56">
        <f>'[2]Изложницы без бурта'!D814</f>
        <v>375</v>
      </c>
      <c r="AG814" s="56">
        <f>'[2]Изложницы без бурта'!E814</f>
        <v>450</v>
      </c>
      <c r="AH814" s="56" t="str">
        <f>'[2]Изложницы без бурта'!F814</f>
        <v>72.11872 - 24</v>
      </c>
      <c r="AI814" s="56">
        <f>'[2]Изложницы без бурта'!G814</f>
        <v>0</v>
      </c>
      <c r="AJ814" s="56">
        <f>'[2]Изложницы без бурта'!H814</f>
        <v>0</v>
      </c>
      <c r="AK814" s="56">
        <f>'[2]Изложницы без бурта'!I814</f>
        <v>0</v>
      </c>
      <c r="AL814" s="56" t="s">
        <v>643</v>
      </c>
      <c r="AM814" s="56">
        <f>'[2]Изложницы без бурта'!K814</f>
        <v>0</v>
      </c>
    </row>
    <row r="815" spans="28:39" x14ac:dyDescent="0.25">
      <c r="AB815" s="253" t="str">
        <f t="shared" si="28"/>
        <v/>
      </c>
      <c r="AC815" s="254" t="str">
        <f>IF(COUNTIF(AD$78:AD815,AD815)=1,MAX(AC$78:AC814)+1,"")</f>
        <v/>
      </c>
      <c r="AD815" s="215">
        <f>'[2]Изложницы без бурта'!B815</f>
        <v>280</v>
      </c>
      <c r="AE815" s="215">
        <f>'[2]Изложницы без бурта'!C815</f>
        <v>260</v>
      </c>
      <c r="AF815" s="56">
        <f>'[2]Изложницы без бурта'!D815</f>
        <v>360</v>
      </c>
      <c r="AG815" s="56">
        <f>'[2]Изложницы без бурта'!E815</f>
        <v>450</v>
      </c>
      <c r="AH815" s="56" t="str">
        <f>'[2]Изложницы без бурта'!F815</f>
        <v>72.11872 - 24</v>
      </c>
      <c r="AI815" s="56">
        <f>'[2]Изложницы без бурта'!G815</f>
        <v>0</v>
      </c>
      <c r="AJ815" s="56">
        <f>'[2]Изложницы без бурта'!H815</f>
        <v>0</v>
      </c>
      <c r="AK815" s="56">
        <f>'[2]Изложницы без бурта'!I815</f>
        <v>0</v>
      </c>
      <c r="AL815" s="56" t="s">
        <v>643</v>
      </c>
      <c r="AM815" s="56">
        <f>'[2]Изложницы без бурта'!K815</f>
        <v>0</v>
      </c>
    </row>
    <row r="816" spans="28:39" x14ac:dyDescent="0.25">
      <c r="AB816" s="253" t="str">
        <f t="shared" si="28"/>
        <v/>
      </c>
      <c r="AC816" s="254">
        <f>IF(COUNTIF(AD$78:AD816,AD816)=1,MAX(AC$78:AC815)+1,"")</f>
        <v>77</v>
      </c>
      <c r="AD816" s="215">
        <f>'[2]Изложницы без бурта'!B816</f>
        <v>282.5</v>
      </c>
      <c r="AE816" s="215">
        <f>'[2]Изложницы без бурта'!C816</f>
        <v>260</v>
      </c>
      <c r="AF816" s="56">
        <f>'[2]Изложницы без бурта'!D816</f>
        <v>360</v>
      </c>
      <c r="AG816" s="56">
        <f>'[2]Изложницы без бурта'!E816</f>
        <v>450</v>
      </c>
      <c r="AH816" s="56" t="str">
        <f>'[2]Изложницы без бурта'!F816</f>
        <v>72.11872 - 25</v>
      </c>
      <c r="AI816" s="56">
        <f>'[2]Изложницы без бурта'!G816</f>
        <v>0</v>
      </c>
      <c r="AJ816" s="56">
        <f>'[2]Изложницы без бурта'!H816</f>
        <v>0</v>
      </c>
      <c r="AK816" s="56">
        <f>'[2]Изложницы без бурта'!I816</f>
        <v>0</v>
      </c>
      <c r="AL816" s="56" t="s">
        <v>643</v>
      </c>
      <c r="AM816" s="56">
        <f>'[2]Изложницы без бурта'!K816</f>
        <v>0</v>
      </c>
    </row>
    <row r="817" spans="28:39" x14ac:dyDescent="0.25">
      <c r="AB817" s="253" t="str">
        <f t="shared" si="28"/>
        <v/>
      </c>
      <c r="AC817" s="254" t="str">
        <f>IF(COUNTIF(AD$78:AD817,AD817)=1,MAX(AC$78:AC816)+1,"")</f>
        <v/>
      </c>
      <c r="AD817" s="215">
        <f>'[2]Изложницы без бурта'!B817</f>
        <v>282.5</v>
      </c>
      <c r="AE817" s="215">
        <f>'[2]Изложницы без бурта'!C817</f>
        <v>260</v>
      </c>
      <c r="AF817" s="56">
        <f>'[2]Изложницы без бурта'!D817</f>
        <v>375</v>
      </c>
      <c r="AG817" s="56">
        <f>'[2]Изложницы без бурта'!E817</f>
        <v>450</v>
      </c>
      <c r="AH817" s="56" t="str">
        <f>'[2]Изложницы без бурта'!F817</f>
        <v>72.11872 - 25</v>
      </c>
      <c r="AI817" s="56">
        <f>'[2]Изложницы без бурта'!G817</f>
        <v>0</v>
      </c>
      <c r="AJ817" s="56">
        <f>'[2]Изложницы без бурта'!H817</f>
        <v>0</v>
      </c>
      <c r="AK817" s="56">
        <f>'[2]Изложницы без бурта'!I817</f>
        <v>0</v>
      </c>
      <c r="AL817" s="56" t="s">
        <v>643</v>
      </c>
      <c r="AM817" s="56">
        <f>'[2]Изложницы без бурта'!K817</f>
        <v>0</v>
      </c>
    </row>
    <row r="818" spans="28:39" x14ac:dyDescent="0.25">
      <c r="AB818" s="253" t="str">
        <f t="shared" si="28"/>
        <v/>
      </c>
      <c r="AC818" s="254" t="str">
        <f>IF(COUNTIF(AD$78:AD818,AD818)=1,MAX(AC$78:AC817)+1,"")</f>
        <v/>
      </c>
      <c r="AD818" s="215">
        <f>'[2]Изложницы без бурта'!B818</f>
        <v>282.5</v>
      </c>
      <c r="AE818" s="215">
        <f>'[2]Изложницы без бурта'!C818</f>
        <v>380</v>
      </c>
      <c r="AF818" s="56">
        <f>'[2]Изложницы без бурта'!D818</f>
        <v>360</v>
      </c>
      <c r="AG818" s="56">
        <f>'[2]Изложницы без бурта'!E818</f>
        <v>450</v>
      </c>
      <c r="AH818" s="56" t="str">
        <f>'[2]Изложницы без бурта'!F818</f>
        <v>72.11874 - 25</v>
      </c>
      <c r="AI818" s="56">
        <f>'[2]Изложницы без бурта'!G818</f>
        <v>0</v>
      </c>
      <c r="AJ818" s="56">
        <f>'[2]Изложницы без бурта'!H818</f>
        <v>0</v>
      </c>
      <c r="AK818" s="56">
        <f>'[2]Изложницы без бурта'!I818</f>
        <v>0</v>
      </c>
      <c r="AL818" s="56" t="s">
        <v>643</v>
      </c>
      <c r="AM818" s="56">
        <f>'[2]Изложницы без бурта'!K818</f>
        <v>0</v>
      </c>
    </row>
    <row r="819" spans="28:39" x14ac:dyDescent="0.25">
      <c r="AB819" s="253" t="str">
        <f t="shared" si="28"/>
        <v/>
      </c>
      <c r="AC819" s="254" t="str">
        <f>IF(COUNTIF(AD$78:AD819,AD819)=1,MAX(AC$78:AC818)+1,"")</f>
        <v/>
      </c>
      <c r="AD819" s="215">
        <f>'[2]Изложницы без бурта'!B819</f>
        <v>282.5</v>
      </c>
      <c r="AE819" s="215">
        <f>'[2]Изложницы без бурта'!C819</f>
        <v>317</v>
      </c>
      <c r="AF819" s="56">
        <f>'[2]Изложницы без бурта'!D819</f>
        <v>360</v>
      </c>
      <c r="AG819" s="56">
        <f>'[2]Изложницы без бурта'!E819</f>
        <v>450</v>
      </c>
      <c r="AH819" s="56" t="str">
        <f>'[2]Изложницы без бурта'!F819</f>
        <v>72.11873 - 25</v>
      </c>
      <c r="AI819" s="56">
        <f>'[2]Изложницы без бурта'!G819</f>
        <v>0</v>
      </c>
      <c r="AJ819" s="56">
        <f>'[2]Изложницы без бурта'!H819</f>
        <v>0</v>
      </c>
      <c r="AK819" s="56">
        <f>'[2]Изложницы без бурта'!I819</f>
        <v>0</v>
      </c>
      <c r="AL819" s="56" t="s">
        <v>644</v>
      </c>
      <c r="AM819" s="56">
        <f>'[2]Изложницы без бурта'!K819</f>
        <v>0</v>
      </c>
    </row>
    <row r="820" spans="28:39" x14ac:dyDescent="0.25">
      <c r="AB820" s="253" t="str">
        <f t="shared" si="28"/>
        <v/>
      </c>
      <c r="AC820" s="254" t="str">
        <f>IF(COUNTIF(AD$78:AD820,AD820)=1,MAX(AC$78:AC819)+1,"")</f>
        <v/>
      </c>
      <c r="AD820" s="215">
        <f>'[2]Изложницы без бурта'!B820</f>
        <v>282.5</v>
      </c>
      <c r="AE820" s="215">
        <f>'[2]Изложницы без бурта'!C820</f>
        <v>258</v>
      </c>
      <c r="AF820" s="56">
        <f>'[2]Изложницы без бурта'!D820</f>
        <v>360</v>
      </c>
      <c r="AG820" s="56">
        <f>'[2]Изложницы без бурта'!E820</f>
        <v>450</v>
      </c>
      <c r="AH820" s="56" t="str">
        <f>'[2]Изложницы без бурта'!F820</f>
        <v>72.11872 - 25</v>
      </c>
      <c r="AI820" s="56">
        <f>'[2]Изложницы без бурта'!G820</f>
        <v>0</v>
      </c>
      <c r="AJ820" s="56">
        <f>'[2]Изложницы без бурта'!H820</f>
        <v>0</v>
      </c>
      <c r="AK820" s="56">
        <f>'[2]Изложницы без бурта'!I820</f>
        <v>0</v>
      </c>
      <c r="AL820" s="56" t="s">
        <v>644</v>
      </c>
      <c r="AM820" s="56">
        <f>'[2]Изложницы без бурта'!K820</f>
        <v>0</v>
      </c>
    </row>
    <row r="821" spans="28:39" x14ac:dyDescent="0.25">
      <c r="AB821" s="253" t="str">
        <f t="shared" si="28"/>
        <v/>
      </c>
      <c r="AC821" s="254" t="str">
        <f>IF(COUNTIF(AD$78:AD821,AD821)=1,MAX(AC$78:AC820)+1,"")</f>
        <v/>
      </c>
      <c r="AD821" s="215">
        <f>'[2]Изложницы без бурта'!B821</f>
        <v>282.5</v>
      </c>
      <c r="AE821" s="215">
        <f>'[2]Изложницы без бурта'!C821</f>
        <v>260</v>
      </c>
      <c r="AF821" s="56">
        <f>'[2]Изложницы без бурта'!D821</f>
        <v>360</v>
      </c>
      <c r="AG821" s="56">
        <f>'[2]Изложницы без бурта'!E821</f>
        <v>450</v>
      </c>
      <c r="AH821" s="56" t="str">
        <f>'[2]Изложницы без бурта'!F821</f>
        <v>72.11872 - 25</v>
      </c>
      <c r="AI821" s="56">
        <f>'[2]Изложницы без бурта'!G821</f>
        <v>0</v>
      </c>
      <c r="AJ821" s="56">
        <f>'[2]Изложницы без бурта'!H821</f>
        <v>0</v>
      </c>
      <c r="AK821" s="56">
        <f>'[2]Изложницы без бурта'!I821</f>
        <v>0</v>
      </c>
      <c r="AL821" s="56" t="s">
        <v>644</v>
      </c>
      <c r="AM821" s="56">
        <f>'[2]Изложницы без бурта'!K821</f>
        <v>0</v>
      </c>
    </row>
    <row r="822" spans="28:39" x14ac:dyDescent="0.25">
      <c r="AB822" s="253" t="str">
        <f t="shared" si="28"/>
        <v/>
      </c>
      <c r="AC822" s="254" t="str">
        <f>IF(COUNTIF(AD$78:AD822,AD822)=1,MAX(AC$78:AC821)+1,"")</f>
        <v/>
      </c>
      <c r="AD822" s="215">
        <f>'[2]Изложницы без бурта'!B822</f>
        <v>282.5</v>
      </c>
      <c r="AE822" s="215">
        <f>'[2]Изложницы без бурта'!C822</f>
        <v>260</v>
      </c>
      <c r="AF822" s="56">
        <f>'[2]Изложницы без бурта'!D822</f>
        <v>360</v>
      </c>
      <c r="AG822" s="56">
        <f>'[2]Изложницы без бурта'!E822</f>
        <v>450</v>
      </c>
      <c r="AH822" s="56" t="str">
        <f>'[2]Изложницы без бурта'!F822</f>
        <v>72.11872 - 25</v>
      </c>
      <c r="AI822" s="56">
        <f>'[2]Изложницы без бурта'!G822</f>
        <v>0</v>
      </c>
      <c r="AJ822" s="56">
        <f>'[2]Изложницы без бурта'!H822</f>
        <v>0</v>
      </c>
      <c r="AK822" s="56">
        <f>'[2]Изложницы без бурта'!I822</f>
        <v>0</v>
      </c>
      <c r="AL822" s="56" t="s">
        <v>644</v>
      </c>
      <c r="AM822" s="56">
        <f>'[2]Изложницы без бурта'!K822</f>
        <v>0</v>
      </c>
    </row>
    <row r="823" spans="28:39" x14ac:dyDescent="0.25">
      <c r="AB823" s="253" t="str">
        <f t="shared" si="28"/>
        <v/>
      </c>
      <c r="AC823" s="254" t="str">
        <f>IF(COUNTIF(AD$78:AD823,AD823)=1,MAX(AC$78:AC822)+1,"")</f>
        <v/>
      </c>
      <c r="AD823" s="215">
        <f>'[2]Изложницы без бурта'!B823</f>
        <v>282.5</v>
      </c>
      <c r="AE823" s="215">
        <f>'[2]Изложницы без бурта'!C823</f>
        <v>260</v>
      </c>
      <c r="AF823" s="56">
        <f>'[2]Изложницы без бурта'!D823</f>
        <v>375</v>
      </c>
      <c r="AG823" s="56">
        <f>'[2]Изложницы без бурта'!E823</f>
        <v>450</v>
      </c>
      <c r="AH823" s="56" t="str">
        <f>'[2]Изложницы без бурта'!F823</f>
        <v>72.11872 - 25</v>
      </c>
      <c r="AI823" s="56">
        <f>'[2]Изложницы без бурта'!G823</f>
        <v>0</v>
      </c>
      <c r="AJ823" s="56">
        <f>'[2]Изложницы без бурта'!H823</f>
        <v>0</v>
      </c>
      <c r="AK823" s="56">
        <f>'[2]Изложницы без бурта'!I823</f>
        <v>0</v>
      </c>
      <c r="AL823" s="56" t="s">
        <v>644</v>
      </c>
      <c r="AM823" s="56">
        <f>'[2]Изложницы без бурта'!K823</f>
        <v>0</v>
      </c>
    </row>
    <row r="824" spans="28:39" x14ac:dyDescent="0.25">
      <c r="AB824" s="253" t="str">
        <f t="shared" si="28"/>
        <v/>
      </c>
      <c r="AC824" s="254" t="str">
        <f>IF(COUNTIF(AD$78:AD824,AD824)=1,MAX(AC$78:AC823)+1,"")</f>
        <v/>
      </c>
      <c r="AD824" s="215">
        <f>'[2]Изложницы без бурта'!B824</f>
        <v>282.5</v>
      </c>
      <c r="AE824" s="215">
        <f>'[2]Изложницы без бурта'!C824</f>
        <v>377</v>
      </c>
      <c r="AF824" s="56">
        <f>'[2]Изложницы без бурта'!D824</f>
        <v>360</v>
      </c>
      <c r="AG824" s="56">
        <f>'[2]Изложницы без бурта'!E824</f>
        <v>450</v>
      </c>
      <c r="AH824" s="56" t="str">
        <f>'[2]Изложницы без бурта'!F824</f>
        <v>72.11874 - 25</v>
      </c>
      <c r="AI824" s="56">
        <f>'[2]Изложницы без бурта'!G824</f>
        <v>0</v>
      </c>
      <c r="AJ824" s="56">
        <f>'[2]Изложницы без бурта'!H824</f>
        <v>0</v>
      </c>
      <c r="AK824" s="56">
        <f>'[2]Изложницы без бурта'!I824</f>
        <v>0</v>
      </c>
      <c r="AL824" s="56" t="s">
        <v>644</v>
      </c>
      <c r="AM824" s="56">
        <f>'[2]Изложницы без бурта'!K824</f>
        <v>0</v>
      </c>
    </row>
    <row r="825" spans="28:39" x14ac:dyDescent="0.25">
      <c r="AB825" s="253" t="str">
        <f t="shared" ref="AB825:AB888" si="29">IF(MAX(AC825:AC1902)&lt;ROW(747:747),"",VLOOKUP(ROW(747:747),AC825:AD1902,2))</f>
        <v/>
      </c>
      <c r="AC825" s="254" t="str">
        <f>IF(COUNTIF(AD$78:AD825,AD825)=1,MAX(AC$78:AC824)+1,"")</f>
        <v/>
      </c>
      <c r="AD825" s="215">
        <f>'[2]Изложницы без бурта'!B825</f>
        <v>282.5</v>
      </c>
      <c r="AE825" s="215">
        <f>'[2]Изложницы без бурта'!C825</f>
        <v>320</v>
      </c>
      <c r="AF825" s="56">
        <f>'[2]Изложницы без бурта'!D825</f>
        <v>360</v>
      </c>
      <c r="AG825" s="56">
        <f>'[2]Изложницы без бурта'!E825</f>
        <v>450</v>
      </c>
      <c r="AH825" s="56" t="str">
        <f>'[2]Изложницы без бурта'!F825</f>
        <v>72.11873 - 25</v>
      </c>
      <c r="AI825" s="56">
        <f>'[2]Изложницы без бурта'!G825</f>
        <v>0</v>
      </c>
      <c r="AJ825" s="56">
        <f>'[2]Изложницы без бурта'!H825</f>
        <v>0</v>
      </c>
      <c r="AK825" s="56">
        <f>'[2]Изложницы без бурта'!I825</f>
        <v>0</v>
      </c>
      <c r="AL825" s="56" t="s">
        <v>644</v>
      </c>
      <c r="AM825" s="56">
        <f>'[2]Изложницы без бурта'!K825</f>
        <v>0</v>
      </c>
    </row>
    <row r="826" spans="28:39" x14ac:dyDescent="0.25">
      <c r="AB826" s="253" t="str">
        <f t="shared" si="29"/>
        <v/>
      </c>
      <c r="AC826" s="254" t="str">
        <f>IF(COUNTIF(AD$78:AD826,AD826)=1,MAX(AC$78:AC825)+1,"")</f>
        <v/>
      </c>
      <c r="AD826" s="215">
        <f>'[2]Изложницы без бурта'!B826</f>
        <v>282.5</v>
      </c>
      <c r="AE826" s="215">
        <f>'[2]Изложницы без бурта'!C826</f>
        <v>440</v>
      </c>
      <c r="AF826" s="56">
        <f>'[2]Изложницы без бурта'!D826</f>
        <v>375</v>
      </c>
      <c r="AG826" s="56">
        <f>'[2]Изложницы без бурта'!E826</f>
        <v>400</v>
      </c>
      <c r="AH826" s="56" t="str">
        <f>'[2]Изложницы без бурта'!F826</f>
        <v>10.241070 - 1</v>
      </c>
      <c r="AI826" s="56">
        <f>'[2]Изложницы без бурта'!G826</f>
        <v>0</v>
      </c>
      <c r="AJ826" s="56">
        <f>'[2]Изложницы без бурта'!H826</f>
        <v>0</v>
      </c>
      <c r="AK826" s="56">
        <f>'[2]Изложницы без бурта'!I826</f>
        <v>0</v>
      </c>
      <c r="AL826" s="56" t="s">
        <v>644</v>
      </c>
      <c r="AM826" s="56">
        <f>'[2]Изложницы без бурта'!K826</f>
        <v>0</v>
      </c>
    </row>
    <row r="827" spans="28:39" x14ac:dyDescent="0.25">
      <c r="AB827" s="253" t="str">
        <f t="shared" si="29"/>
        <v/>
      </c>
      <c r="AC827" s="254" t="str">
        <f>IF(COUNTIF(AD$78:AD827,AD827)=1,MAX(AC$78:AC826)+1,"")</f>
        <v/>
      </c>
      <c r="AD827" s="215">
        <f>'[2]Изложницы без бурта'!B827</f>
        <v>282.5</v>
      </c>
      <c r="AE827" s="215">
        <f>'[2]Изложницы без бурта'!C827</f>
        <v>377</v>
      </c>
      <c r="AF827" s="56">
        <f>'[2]Изложницы без бурта'!D827</f>
        <v>360</v>
      </c>
      <c r="AG827" s="56">
        <f>'[2]Изложницы без бурта'!E827</f>
        <v>450</v>
      </c>
      <c r="AH827" s="56" t="str">
        <f>'[2]Изложницы без бурта'!F827</f>
        <v>72.11874 - 25</v>
      </c>
      <c r="AI827" s="56">
        <f>'[2]Изложницы без бурта'!G827</f>
        <v>0</v>
      </c>
      <c r="AJ827" s="56">
        <f>'[2]Изложницы без бурта'!H827</f>
        <v>0</v>
      </c>
      <c r="AK827" s="56">
        <f>'[2]Изложницы без бурта'!I827</f>
        <v>0</v>
      </c>
      <c r="AL827" s="56" t="s">
        <v>644</v>
      </c>
      <c r="AM827" s="56">
        <f>'[2]Изложницы без бурта'!K827</f>
        <v>0</v>
      </c>
    </row>
    <row r="828" spans="28:39" x14ac:dyDescent="0.25">
      <c r="AB828" s="253" t="str">
        <f t="shared" si="29"/>
        <v/>
      </c>
      <c r="AC828" s="254" t="str">
        <f>IF(COUNTIF(AD$78:AD828,AD828)=1,MAX(AC$78:AC827)+1,"")</f>
        <v/>
      </c>
      <c r="AD828" s="215">
        <f>'[2]Изложницы без бурта'!B828</f>
        <v>282.5</v>
      </c>
      <c r="AE828" s="215">
        <f>'[2]Изложницы без бурта'!C828</f>
        <v>383</v>
      </c>
      <c r="AF828" s="56">
        <f>'[2]Изложницы без бурта'!D828</f>
        <v>375</v>
      </c>
      <c r="AG828" s="56">
        <f>'[2]Изложницы без бурта'!E828</f>
        <v>450</v>
      </c>
      <c r="AH828" s="56" t="str">
        <f>'[2]Изложницы без бурта'!F828</f>
        <v>72.11874 - 25</v>
      </c>
      <c r="AI828" s="56">
        <f>'[2]Изложницы без бурта'!G828</f>
        <v>0</v>
      </c>
      <c r="AJ828" s="56">
        <f>'[2]Изложницы без бурта'!H828</f>
        <v>0</v>
      </c>
      <c r="AK828" s="56">
        <f>'[2]Изложницы без бурта'!I828</f>
        <v>0</v>
      </c>
      <c r="AL828" s="56" t="s">
        <v>644</v>
      </c>
      <c r="AM828" s="56">
        <f>'[2]Изложницы без бурта'!K828</f>
        <v>0</v>
      </c>
    </row>
    <row r="829" spans="28:39" x14ac:dyDescent="0.25">
      <c r="AB829" s="253" t="str">
        <f t="shared" si="29"/>
        <v/>
      </c>
      <c r="AC829" s="254" t="str">
        <f>IF(COUNTIF(AD$78:AD829,AD829)=1,MAX(AC$78:AC828)+1,"")</f>
        <v/>
      </c>
      <c r="AD829" s="215">
        <f>'[2]Изложницы без бурта'!B829</f>
        <v>282.5</v>
      </c>
      <c r="AE829" s="215">
        <f>'[2]Изложницы без бурта'!C829</f>
        <v>420</v>
      </c>
      <c r="AF829" s="56">
        <f>'[2]Изложницы без бурта'!D829</f>
        <v>360</v>
      </c>
      <c r="AG829" s="56">
        <f>'[2]Изложницы без бурта'!E829</f>
        <v>400</v>
      </c>
      <c r="AH829" s="56" t="str">
        <f>'[2]Изложницы без бурта'!F829</f>
        <v>10.241070 - 1</v>
      </c>
      <c r="AI829" s="56">
        <f>'[2]Изложницы без бурта'!G829</f>
        <v>0</v>
      </c>
      <c r="AJ829" s="56">
        <f>'[2]Изложницы без бурта'!H829</f>
        <v>0</v>
      </c>
      <c r="AK829" s="56">
        <f>'[2]Изложницы без бурта'!I829</f>
        <v>0</v>
      </c>
      <c r="AL829" s="56" t="s">
        <v>644</v>
      </c>
      <c r="AM829" s="56">
        <f>'[2]Изложницы без бурта'!K829</f>
        <v>0</v>
      </c>
    </row>
    <row r="830" spans="28:39" x14ac:dyDescent="0.25">
      <c r="AB830" s="253" t="str">
        <f t="shared" si="29"/>
        <v/>
      </c>
      <c r="AC830" s="254" t="str">
        <f>IF(COUNTIF(AD$78:AD830,AD830)=1,MAX(AC$78:AC829)+1,"")</f>
        <v/>
      </c>
      <c r="AD830" s="215">
        <f>'[2]Изложницы без бурта'!B830</f>
        <v>282.5</v>
      </c>
      <c r="AE830" s="215">
        <f>'[2]Изложницы без бурта'!C830</f>
        <v>257</v>
      </c>
      <c r="AF830" s="56">
        <f>'[2]Изложницы без бурта'!D830</f>
        <v>360</v>
      </c>
      <c r="AG830" s="56">
        <f>'[2]Изложницы без бурта'!E830</f>
        <v>450</v>
      </c>
      <c r="AH830" s="56" t="str">
        <f>'[2]Изложницы без бурта'!F830</f>
        <v>72.11872 - 25</v>
      </c>
      <c r="AI830" s="56">
        <f>'[2]Изложницы без бурта'!G830</f>
        <v>0</v>
      </c>
      <c r="AJ830" s="56">
        <f>'[2]Изложницы без бурта'!H830</f>
        <v>0</v>
      </c>
      <c r="AK830" s="56">
        <f>'[2]Изложницы без бурта'!I830</f>
        <v>0</v>
      </c>
      <c r="AL830" s="56" t="s">
        <v>644</v>
      </c>
      <c r="AM830" s="56">
        <f>'[2]Изложницы без бурта'!K830</f>
        <v>0</v>
      </c>
    </row>
    <row r="831" spans="28:39" x14ac:dyDescent="0.25">
      <c r="AB831" s="253" t="str">
        <f t="shared" si="29"/>
        <v/>
      </c>
      <c r="AC831" s="254" t="str">
        <f>IF(COUNTIF(AD$78:AD831,AD831)=1,MAX(AC$78:AC830)+1,"")</f>
        <v/>
      </c>
      <c r="AD831" s="215">
        <f>'[2]Изложницы без бурта'!B831</f>
        <v>282.5</v>
      </c>
      <c r="AE831" s="215">
        <f>'[2]Изложницы без бурта'!C831</f>
        <v>260</v>
      </c>
      <c r="AF831" s="56">
        <f>'[2]Изложницы без бурта'!D831</f>
        <v>360</v>
      </c>
      <c r="AG831" s="56">
        <f>'[2]Изложницы без бурта'!E831</f>
        <v>450</v>
      </c>
      <c r="AH831" s="56" t="str">
        <f>'[2]Изложницы без бурта'!F831</f>
        <v>72.11872 - 25</v>
      </c>
      <c r="AI831" s="56">
        <f>'[2]Изложницы без бурта'!G831</f>
        <v>0</v>
      </c>
      <c r="AJ831" s="56">
        <f>'[2]Изложницы без бурта'!H831</f>
        <v>0</v>
      </c>
      <c r="AK831" s="56">
        <f>'[2]Изложницы без бурта'!I831</f>
        <v>0</v>
      </c>
      <c r="AL831" s="56" t="s">
        <v>644</v>
      </c>
      <c r="AM831" s="56">
        <f>'[2]Изложницы без бурта'!K831</f>
        <v>0</v>
      </c>
    </row>
    <row r="832" spans="28:39" x14ac:dyDescent="0.25">
      <c r="AB832" s="253" t="str">
        <f t="shared" si="29"/>
        <v/>
      </c>
      <c r="AC832" s="254">
        <f>IF(COUNTIF(AD$78:AD832,AD832)=1,MAX(AC$78:AC831)+1,"")</f>
        <v>78</v>
      </c>
      <c r="AD832" s="215">
        <f>'[2]Изложницы без бурта'!B832</f>
        <v>285</v>
      </c>
      <c r="AE832" s="215">
        <f>'[2]Изложницы без бурта'!C832</f>
        <v>440</v>
      </c>
      <c r="AF832" s="56">
        <f>'[2]Изложницы без бурта'!D832</f>
        <v>375</v>
      </c>
      <c r="AG832" s="56">
        <f>'[2]Изложницы без бурта'!E832</f>
        <v>400</v>
      </c>
      <c r="AH832" s="56" t="str">
        <f>'[2]Изложницы без бурта'!F832</f>
        <v>10.241070 - 2</v>
      </c>
      <c r="AI832" s="56">
        <f>'[2]Изложницы без бурта'!G832</f>
        <v>0</v>
      </c>
      <c r="AJ832" s="56">
        <f>'[2]Изложницы без бурта'!H832</f>
        <v>0</v>
      </c>
      <c r="AK832" s="56">
        <f>'[2]Изложницы без бурта'!I832</f>
        <v>0</v>
      </c>
      <c r="AL832" s="56" t="s">
        <v>644</v>
      </c>
      <c r="AM832" s="56">
        <f>'[2]Изложницы без бурта'!K832</f>
        <v>0</v>
      </c>
    </row>
    <row r="833" spans="28:39" x14ac:dyDescent="0.25">
      <c r="AB833" s="253" t="str">
        <f t="shared" si="29"/>
        <v/>
      </c>
      <c r="AC833" s="254" t="str">
        <f>IF(COUNTIF(AD$78:AD833,AD833)=1,MAX(AC$78:AC832)+1,"")</f>
        <v/>
      </c>
      <c r="AD833" s="215">
        <f>'[2]Изложницы без бурта'!B833</f>
        <v>285</v>
      </c>
      <c r="AE833" s="215">
        <f>'[2]Изложницы без бурта'!C833</f>
        <v>213</v>
      </c>
      <c r="AF833" s="56">
        <f>'[2]Изложницы без бурта'!D833</f>
        <v>360</v>
      </c>
      <c r="AG833" s="56">
        <f>'[2]Изложницы без бурта'!E833</f>
        <v>450</v>
      </c>
      <c r="AH833" s="56" t="str">
        <f>'[2]Изложницы без бурта'!F833</f>
        <v>10.246094 - 2</v>
      </c>
      <c r="AI833" s="56">
        <f>'[2]Изложницы без бурта'!G833</f>
        <v>0</v>
      </c>
      <c r="AJ833" s="56">
        <f>'[2]Изложницы без бурта'!H833</f>
        <v>0</v>
      </c>
      <c r="AK833" s="56">
        <f>'[2]Изложницы без бурта'!I833</f>
        <v>0</v>
      </c>
      <c r="AL833" s="56" t="s">
        <v>644</v>
      </c>
      <c r="AM833" s="56">
        <f>'[2]Изложницы без бурта'!K833</f>
        <v>0</v>
      </c>
    </row>
    <row r="834" spans="28:39" x14ac:dyDescent="0.25">
      <c r="AB834" s="253" t="str">
        <f t="shared" si="29"/>
        <v/>
      </c>
      <c r="AC834" s="254" t="str">
        <f>IF(COUNTIF(AD$78:AD834,AD834)=1,MAX(AC$78:AC833)+1,"")</f>
        <v/>
      </c>
      <c r="AD834" s="215">
        <f>'[2]Изложницы без бурта'!B834</f>
        <v>285</v>
      </c>
      <c r="AE834" s="215">
        <f>'[2]Изложницы без бурта'!C834</f>
        <v>415</v>
      </c>
      <c r="AF834" s="56">
        <f>'[2]Изложницы без бурта'!D834</f>
        <v>360</v>
      </c>
      <c r="AG834" s="56">
        <f>'[2]Изложницы без бурта'!E834</f>
        <v>400</v>
      </c>
      <c r="AH834" s="56" t="str">
        <f>'[2]Изложницы без бурта'!F834</f>
        <v>72.42346 - 03</v>
      </c>
      <c r="AI834" s="56">
        <f>'[2]Изложницы без бурта'!G834</f>
        <v>7260044</v>
      </c>
      <c r="AJ834" s="56">
        <f>'[2]Изложницы без бурта'!H834</f>
        <v>0</v>
      </c>
      <c r="AK834" s="56">
        <f>'[2]Изложницы без бурта'!I834</f>
        <v>0</v>
      </c>
      <c r="AL834" s="56" t="s">
        <v>644</v>
      </c>
      <c r="AM834" s="56">
        <f>'[2]Изложницы без бурта'!K834</f>
        <v>0</v>
      </c>
    </row>
    <row r="835" spans="28:39" x14ac:dyDescent="0.25">
      <c r="AB835" s="253" t="str">
        <f t="shared" si="29"/>
        <v/>
      </c>
      <c r="AC835" s="254" t="str">
        <f>IF(COUNTIF(AD$78:AD835,AD835)=1,MAX(AC$78:AC834)+1,"")</f>
        <v/>
      </c>
      <c r="AD835" s="215">
        <f>'[2]Изложницы без бурта'!B835</f>
        <v>285</v>
      </c>
      <c r="AE835" s="215">
        <f>'[2]Изложницы без бурта'!C835</f>
        <v>440</v>
      </c>
      <c r="AF835" s="56">
        <f>'[2]Изложницы без бурта'!D835</f>
        <v>375</v>
      </c>
      <c r="AG835" s="56">
        <f>'[2]Изложницы без бурта'!E835</f>
        <v>400</v>
      </c>
      <c r="AH835" s="56" t="str">
        <f>'[2]Изложницы без бурта'!F835</f>
        <v>10.241070 - 2</v>
      </c>
      <c r="AI835" s="56">
        <f>'[2]Изложницы без бурта'!G835</f>
        <v>0</v>
      </c>
      <c r="AJ835" s="56">
        <f>'[2]Изложницы без бурта'!H835</f>
        <v>0</v>
      </c>
      <c r="AK835" s="56">
        <f>'[2]Изложницы без бурта'!I835</f>
        <v>0</v>
      </c>
      <c r="AL835" s="56" t="s">
        <v>645</v>
      </c>
      <c r="AM835" s="56">
        <f>'[2]Изложницы без бурта'!K835</f>
        <v>0</v>
      </c>
    </row>
    <row r="836" spans="28:39" x14ac:dyDescent="0.25">
      <c r="AB836" s="253" t="str">
        <f t="shared" si="29"/>
        <v/>
      </c>
      <c r="AC836" s="254" t="str">
        <f>IF(COUNTIF(AD$78:AD836,AD836)=1,MAX(AC$78:AC835)+1,"")</f>
        <v/>
      </c>
      <c r="AD836" s="215">
        <f>'[2]Изложницы без бурта'!B836</f>
        <v>285</v>
      </c>
      <c r="AE836" s="215">
        <f>'[2]Изложницы без бурта'!C836</f>
        <v>260</v>
      </c>
      <c r="AF836" s="56">
        <f>'[2]Изложницы без бурта'!D836</f>
        <v>375</v>
      </c>
      <c r="AG836" s="56">
        <f>'[2]Изложницы без бурта'!E836</f>
        <v>450</v>
      </c>
      <c r="AH836" s="56" t="str">
        <f>'[2]Изложницы без бурта'!F836</f>
        <v>72.11872 - 26</v>
      </c>
      <c r="AI836" s="56">
        <f>'[2]Изложницы без бурта'!G836</f>
        <v>0</v>
      </c>
      <c r="AJ836" s="56">
        <f>'[2]Изложницы без бурта'!H836</f>
        <v>0</v>
      </c>
      <c r="AK836" s="56">
        <f>'[2]Изложницы без бурта'!I836</f>
        <v>0</v>
      </c>
      <c r="AL836" s="56" t="s">
        <v>645</v>
      </c>
      <c r="AM836" s="56">
        <f>'[2]Изложницы без бурта'!K836</f>
        <v>0</v>
      </c>
    </row>
    <row r="837" spans="28:39" x14ac:dyDescent="0.25">
      <c r="AB837" s="253" t="str">
        <f t="shared" si="29"/>
        <v/>
      </c>
      <c r="AC837" s="254" t="str">
        <f>IF(COUNTIF(AD$78:AD837,AD837)=1,MAX(AC$78:AC836)+1,"")</f>
        <v/>
      </c>
      <c r="AD837" s="215">
        <f>'[2]Изложницы без бурта'!B837</f>
        <v>285</v>
      </c>
      <c r="AE837" s="215">
        <f>'[2]Изложницы без бурта'!C837</f>
        <v>260</v>
      </c>
      <c r="AF837" s="56">
        <f>'[2]Изложницы без бурта'!D837</f>
        <v>375</v>
      </c>
      <c r="AG837" s="56">
        <f>'[2]Изложницы без бурта'!E837</f>
        <v>450</v>
      </c>
      <c r="AH837" s="56" t="str">
        <f>'[2]Изложницы без бурта'!F837</f>
        <v>72.11872 - 26</v>
      </c>
      <c r="AI837" s="56">
        <f>'[2]Изложницы без бурта'!G837</f>
        <v>0</v>
      </c>
      <c r="AJ837" s="56">
        <f>'[2]Изложницы без бурта'!H837</f>
        <v>0</v>
      </c>
      <c r="AK837" s="56">
        <f>'[2]Изложницы без бурта'!I837</f>
        <v>0</v>
      </c>
      <c r="AL837" s="56" t="s">
        <v>645</v>
      </c>
      <c r="AM837" s="56">
        <f>'[2]Изложницы без бурта'!K837</f>
        <v>0</v>
      </c>
    </row>
    <row r="838" spans="28:39" x14ac:dyDescent="0.25">
      <c r="AB838" s="253" t="str">
        <f t="shared" si="29"/>
        <v/>
      </c>
      <c r="AC838" s="254" t="str">
        <f>IF(COUNTIF(AD$78:AD838,AD838)=1,MAX(AC$78:AC837)+1,"")</f>
        <v/>
      </c>
      <c r="AD838" s="215">
        <f>'[2]Изложницы без бурта'!B838</f>
        <v>285</v>
      </c>
      <c r="AE838" s="215">
        <f>'[2]Изложницы без бурта'!C838</f>
        <v>260</v>
      </c>
      <c r="AF838" s="56">
        <f>'[2]Изложницы без бурта'!D838</f>
        <v>360</v>
      </c>
      <c r="AG838" s="56">
        <f>'[2]Изложницы без бурта'!E838</f>
        <v>450</v>
      </c>
      <c r="AH838" s="56" t="str">
        <f>'[2]Изложницы без бурта'!F838</f>
        <v>72.11872 - 26</v>
      </c>
      <c r="AI838" s="56">
        <f>'[2]Изложницы без бурта'!G838</f>
        <v>0</v>
      </c>
      <c r="AJ838" s="56">
        <f>'[2]Изложницы без бурта'!H838</f>
        <v>0</v>
      </c>
      <c r="AK838" s="56">
        <f>'[2]Изложницы без бурта'!I838</f>
        <v>0</v>
      </c>
      <c r="AL838" s="56" t="s">
        <v>645</v>
      </c>
      <c r="AM838" s="56">
        <f>'[2]Изложницы без бурта'!K838</f>
        <v>0</v>
      </c>
    </row>
    <row r="839" spans="28:39" x14ac:dyDescent="0.25">
      <c r="AB839" s="253" t="str">
        <f t="shared" si="29"/>
        <v/>
      </c>
      <c r="AC839" s="254" t="str">
        <f>IF(COUNTIF(AD$78:AD839,AD839)=1,MAX(AC$78:AC838)+1,"")</f>
        <v/>
      </c>
      <c r="AD839" s="215">
        <f>'[2]Изложницы без бурта'!B839</f>
        <v>285</v>
      </c>
      <c r="AE839" s="215">
        <f>'[2]Изложницы без бурта'!C839</f>
        <v>260</v>
      </c>
      <c r="AF839" s="56">
        <f>'[2]Изложницы без бурта'!D839</f>
        <v>375</v>
      </c>
      <c r="AG839" s="56">
        <f>'[2]Изложницы без бурта'!E839</f>
        <v>450</v>
      </c>
      <c r="AH839" s="56" t="str">
        <f>'[2]Изложницы без бурта'!F839</f>
        <v>72.11872 - 26</v>
      </c>
      <c r="AI839" s="56">
        <f>'[2]Изложницы без бурта'!G839</f>
        <v>0</v>
      </c>
      <c r="AJ839" s="56">
        <f>'[2]Изложницы без бурта'!H839</f>
        <v>0</v>
      </c>
      <c r="AK839" s="56">
        <f>'[2]Изложницы без бурта'!I839</f>
        <v>0</v>
      </c>
      <c r="AL839" s="56" t="s">
        <v>645</v>
      </c>
      <c r="AM839" s="56">
        <f>'[2]Изложницы без бурта'!K839</f>
        <v>0</v>
      </c>
    </row>
    <row r="840" spans="28:39" x14ac:dyDescent="0.25">
      <c r="AB840" s="253" t="str">
        <f t="shared" si="29"/>
        <v/>
      </c>
      <c r="AC840" s="254" t="str">
        <f>IF(COUNTIF(AD$78:AD840,AD840)=1,MAX(AC$78:AC839)+1,"")</f>
        <v/>
      </c>
      <c r="AD840" s="215">
        <f>'[2]Изложницы без бурта'!B840</f>
        <v>285</v>
      </c>
      <c r="AE840" s="215">
        <f>'[2]Изложницы без бурта'!C840</f>
        <v>320</v>
      </c>
      <c r="AF840" s="56">
        <f>'[2]Изложницы без бурта'!D840</f>
        <v>360</v>
      </c>
      <c r="AG840" s="56">
        <f>'[2]Изложницы без бурта'!E840</f>
        <v>450</v>
      </c>
      <c r="AH840" s="56" t="str">
        <f>'[2]Изложницы без бурта'!F840</f>
        <v>72.11873 - 26</v>
      </c>
      <c r="AI840" s="56">
        <f>'[2]Изложницы без бурта'!G840</f>
        <v>0</v>
      </c>
      <c r="AJ840" s="56">
        <f>'[2]Изложницы без бурта'!H840</f>
        <v>0</v>
      </c>
      <c r="AK840" s="56">
        <f>'[2]Изложницы без бурта'!I840</f>
        <v>0</v>
      </c>
      <c r="AL840" s="56" t="s">
        <v>645</v>
      </c>
      <c r="AM840" s="56">
        <f>'[2]Изложницы без бурта'!K840</f>
        <v>0</v>
      </c>
    </row>
    <row r="841" spans="28:39" x14ac:dyDescent="0.25">
      <c r="AB841" s="253" t="str">
        <f t="shared" si="29"/>
        <v/>
      </c>
      <c r="AC841" s="254" t="str">
        <f>IF(COUNTIF(AD$78:AD841,AD841)=1,MAX(AC$78:AC840)+1,"")</f>
        <v/>
      </c>
      <c r="AD841" s="215">
        <f>'[2]Изложницы без бурта'!B841</f>
        <v>285</v>
      </c>
      <c r="AE841" s="215">
        <f>'[2]Изложницы без бурта'!C841</f>
        <v>260</v>
      </c>
      <c r="AF841" s="56">
        <f>'[2]Изложницы без бурта'!D841</f>
        <v>375</v>
      </c>
      <c r="AG841" s="56">
        <f>'[2]Изложницы без бурта'!E841</f>
        <v>450</v>
      </c>
      <c r="AH841" s="56" t="str">
        <f>'[2]Изложницы без бурта'!F841</f>
        <v>72.11872 - 26</v>
      </c>
      <c r="AI841" s="56">
        <f>'[2]Изложницы без бурта'!G841</f>
        <v>0</v>
      </c>
      <c r="AJ841" s="56">
        <f>'[2]Изложницы без бурта'!H841</f>
        <v>0</v>
      </c>
      <c r="AK841" s="56">
        <f>'[2]Изложницы без бурта'!I841</f>
        <v>0</v>
      </c>
      <c r="AL841" s="56" t="s">
        <v>645</v>
      </c>
      <c r="AM841" s="56">
        <f>'[2]Изложницы без бурта'!K841</f>
        <v>0</v>
      </c>
    </row>
    <row r="842" spans="28:39" x14ac:dyDescent="0.25">
      <c r="AB842" s="253" t="str">
        <f t="shared" si="29"/>
        <v/>
      </c>
      <c r="AC842" s="254" t="str">
        <f>IF(COUNTIF(AD$78:AD842,AD842)=1,MAX(AC$78:AC841)+1,"")</f>
        <v/>
      </c>
      <c r="AD842" s="215">
        <f>'[2]Изложницы без бурта'!B842</f>
        <v>285</v>
      </c>
      <c r="AE842" s="215">
        <f>'[2]Изложницы без бурта'!C842</f>
        <v>210</v>
      </c>
      <c r="AF842" s="56">
        <f>'[2]Изложницы без бурта'!D842</f>
        <v>360</v>
      </c>
      <c r="AG842" s="56">
        <f>'[2]Изложницы без бурта'!E842</f>
        <v>450</v>
      </c>
      <c r="AH842" s="56" t="str">
        <f>'[2]Изложницы без бурта'!F842</f>
        <v>10.246094 - 2</v>
      </c>
      <c r="AI842" s="56">
        <f>'[2]Изложницы без бурта'!G842</f>
        <v>0</v>
      </c>
      <c r="AJ842" s="56">
        <f>'[2]Изложницы без бурта'!H842</f>
        <v>0</v>
      </c>
      <c r="AK842" s="56">
        <f>'[2]Изложницы без бурта'!I842</f>
        <v>0</v>
      </c>
      <c r="AL842" s="56" t="s">
        <v>645</v>
      </c>
      <c r="AM842" s="56">
        <f>'[2]Изложницы без бурта'!K842</f>
        <v>0</v>
      </c>
    </row>
    <row r="843" spans="28:39" x14ac:dyDescent="0.25">
      <c r="AB843" s="253" t="str">
        <f t="shared" si="29"/>
        <v/>
      </c>
      <c r="AC843" s="254" t="str">
        <f>IF(COUNTIF(AD$78:AD843,AD843)=1,MAX(AC$78:AC842)+1,"")</f>
        <v/>
      </c>
      <c r="AD843" s="215">
        <f>'[2]Изложницы без бурта'!B843</f>
        <v>285</v>
      </c>
      <c r="AE843" s="215">
        <f>'[2]Изложницы без бурта'!C843</f>
        <v>260</v>
      </c>
      <c r="AF843" s="56">
        <f>'[2]Изложницы без бурта'!D843</f>
        <v>360</v>
      </c>
      <c r="AG843" s="56">
        <f>'[2]Изложницы без бурта'!E843</f>
        <v>450</v>
      </c>
      <c r="AH843" s="56" t="str">
        <f>'[2]Изложницы без бурта'!F843</f>
        <v>72.11872 - 26</v>
      </c>
      <c r="AI843" s="56">
        <f>'[2]Изложницы без бурта'!G843</f>
        <v>0</v>
      </c>
      <c r="AJ843" s="56">
        <f>'[2]Изложницы без бурта'!H843</f>
        <v>0</v>
      </c>
      <c r="AK843" s="56">
        <f>'[2]Изложницы без бурта'!I843</f>
        <v>0</v>
      </c>
      <c r="AL843" s="56" t="s">
        <v>645</v>
      </c>
      <c r="AM843" s="56">
        <f>'[2]Изложницы без бурта'!K843</f>
        <v>0</v>
      </c>
    </row>
    <row r="844" spans="28:39" x14ac:dyDescent="0.25">
      <c r="AB844" s="253" t="str">
        <f t="shared" si="29"/>
        <v/>
      </c>
      <c r="AC844" s="254" t="str">
        <f>IF(COUNTIF(AD$78:AD844,AD844)=1,MAX(AC$78:AC843)+1,"")</f>
        <v/>
      </c>
      <c r="AD844" s="215">
        <f>'[2]Изложницы без бурта'!B844</f>
        <v>285</v>
      </c>
      <c r="AE844" s="215">
        <f>'[2]Изложницы без бурта'!C844</f>
        <v>257</v>
      </c>
      <c r="AF844" s="56">
        <f>'[2]Изложницы без бурта'!D844</f>
        <v>375</v>
      </c>
      <c r="AG844" s="56">
        <f>'[2]Изложницы без бурта'!E844</f>
        <v>450</v>
      </c>
      <c r="AH844" s="56" t="str">
        <f>'[2]Изложницы без бурта'!F844</f>
        <v>72.11872 - 26</v>
      </c>
      <c r="AI844" s="56">
        <f>'[2]Изложницы без бурта'!G844</f>
        <v>0</v>
      </c>
      <c r="AJ844" s="56">
        <f>'[2]Изложницы без бурта'!H844</f>
        <v>0</v>
      </c>
      <c r="AK844" s="56">
        <f>'[2]Изложницы без бурта'!I844</f>
        <v>0</v>
      </c>
      <c r="AL844" s="56" t="s">
        <v>645</v>
      </c>
      <c r="AM844" s="56">
        <f>'[2]Изложницы без бурта'!K844</f>
        <v>0</v>
      </c>
    </row>
    <row r="845" spans="28:39" x14ac:dyDescent="0.25">
      <c r="AB845" s="253" t="str">
        <f t="shared" si="29"/>
        <v/>
      </c>
      <c r="AC845" s="254" t="str">
        <f>IF(COUNTIF(AD$78:AD845,AD845)=1,MAX(AC$78:AC844)+1,"")</f>
        <v/>
      </c>
      <c r="AD845" s="215">
        <f>'[2]Изложницы без бурта'!B845</f>
        <v>285</v>
      </c>
      <c r="AE845" s="215">
        <f>'[2]Изложницы без бурта'!C845</f>
        <v>378</v>
      </c>
      <c r="AF845" s="56">
        <f>'[2]Изложницы без бурта'!D845</f>
        <v>360</v>
      </c>
      <c r="AG845" s="56">
        <f>'[2]Изложницы без бурта'!E845</f>
        <v>450</v>
      </c>
      <c r="AH845" s="56" t="str">
        <f>'[2]Изложницы без бурта'!F845</f>
        <v>72.11874 - 26</v>
      </c>
      <c r="AI845" s="56">
        <f>'[2]Изложницы без бурта'!G845</f>
        <v>0</v>
      </c>
      <c r="AJ845" s="56">
        <f>'[2]Изложницы без бурта'!H845</f>
        <v>0</v>
      </c>
      <c r="AK845" s="56">
        <f>'[2]Изложницы без бурта'!I845</f>
        <v>0</v>
      </c>
      <c r="AL845" s="56" t="s">
        <v>645</v>
      </c>
      <c r="AM845" s="56">
        <f>'[2]Изложницы без бурта'!K845</f>
        <v>0</v>
      </c>
    </row>
    <row r="846" spans="28:39" x14ac:dyDescent="0.25">
      <c r="AB846" s="253" t="str">
        <f t="shared" si="29"/>
        <v/>
      </c>
      <c r="AC846" s="254" t="str">
        <f>IF(COUNTIF(AD$78:AD846,AD846)=1,MAX(AC$78:AC845)+1,"")</f>
        <v/>
      </c>
      <c r="AD846" s="215">
        <f>'[2]Изложницы без бурта'!B846</f>
        <v>285</v>
      </c>
      <c r="AE846" s="215">
        <f>'[2]Изложницы без бурта'!C846</f>
        <v>379</v>
      </c>
      <c r="AF846" s="56">
        <f>'[2]Изложницы без бурта'!D846</f>
        <v>360</v>
      </c>
      <c r="AG846" s="56">
        <f>'[2]Изложницы без бурта'!E846</f>
        <v>450</v>
      </c>
      <c r="AH846" s="56" t="str">
        <f>'[2]Изложницы без бурта'!F846</f>
        <v>72.11874 - 26</v>
      </c>
      <c r="AI846" s="56">
        <f>'[2]Изложницы без бурта'!G846</f>
        <v>0</v>
      </c>
      <c r="AJ846" s="56">
        <f>'[2]Изложницы без бурта'!H846</f>
        <v>0</v>
      </c>
      <c r="AK846" s="56">
        <f>'[2]Изложницы без бурта'!I846</f>
        <v>0</v>
      </c>
      <c r="AL846" s="56" t="s">
        <v>645</v>
      </c>
      <c r="AM846" s="56">
        <f>'[2]Изложницы без бурта'!K846</f>
        <v>0</v>
      </c>
    </row>
    <row r="847" spans="28:39" x14ac:dyDescent="0.25">
      <c r="AB847" s="253" t="str">
        <f t="shared" si="29"/>
        <v/>
      </c>
      <c r="AC847" s="254" t="str">
        <f>IF(COUNTIF(AD$78:AD847,AD847)=1,MAX(AC$78:AC846)+1,"")</f>
        <v/>
      </c>
      <c r="AD847" s="215">
        <f>'[2]Изложницы без бурта'!B847</f>
        <v>285</v>
      </c>
      <c r="AE847" s="215">
        <f>'[2]Изложницы без бурта'!C847</f>
        <v>315</v>
      </c>
      <c r="AF847" s="56">
        <f>'[2]Изложницы без бурта'!D847</f>
        <v>375</v>
      </c>
      <c r="AG847" s="56">
        <f>'[2]Изложницы без бурта'!E847</f>
        <v>450</v>
      </c>
      <c r="AH847" s="56" t="str">
        <f>'[2]Изложницы без бурта'!F847</f>
        <v>72.11873 - 26</v>
      </c>
      <c r="AI847" s="56">
        <f>'[2]Изложницы без бурта'!G847</f>
        <v>0</v>
      </c>
      <c r="AJ847" s="56">
        <f>'[2]Изложницы без бурта'!H847</f>
        <v>0</v>
      </c>
      <c r="AK847" s="56">
        <f>'[2]Изложницы без бурта'!I847</f>
        <v>0</v>
      </c>
      <c r="AL847" s="56" t="s">
        <v>645</v>
      </c>
      <c r="AM847" s="56">
        <f>'[2]Изложницы без бурта'!K847</f>
        <v>0</v>
      </c>
    </row>
    <row r="848" spans="28:39" x14ac:dyDescent="0.25">
      <c r="AB848" s="253" t="str">
        <f t="shared" si="29"/>
        <v/>
      </c>
      <c r="AC848" s="254" t="str">
        <f>IF(COUNTIF(AD$78:AD848,AD848)=1,MAX(AC$78:AC847)+1,"")</f>
        <v/>
      </c>
      <c r="AD848" s="215">
        <f>'[2]Изложницы без бурта'!B848</f>
        <v>285</v>
      </c>
      <c r="AE848" s="215">
        <f>'[2]Изложницы без бурта'!C848</f>
        <v>375</v>
      </c>
      <c r="AF848" s="56">
        <f>'[2]Изложницы без бурта'!D848</f>
        <v>360</v>
      </c>
      <c r="AG848" s="56">
        <f>'[2]Изложницы без бурта'!E848</f>
        <v>450</v>
      </c>
      <c r="AH848" s="56" t="str">
        <f>'[2]Изложницы без бурта'!F848</f>
        <v>72.11874 - 26</v>
      </c>
      <c r="AI848" s="56">
        <f>'[2]Изложницы без бурта'!G848</f>
        <v>0</v>
      </c>
      <c r="AJ848" s="56">
        <f>'[2]Изложницы без бурта'!H848</f>
        <v>0</v>
      </c>
      <c r="AK848" s="56">
        <f>'[2]Изложницы без бурта'!I848</f>
        <v>0</v>
      </c>
      <c r="AL848" s="56" t="s">
        <v>645</v>
      </c>
      <c r="AM848" s="56">
        <f>'[2]Изложницы без бурта'!K848</f>
        <v>0</v>
      </c>
    </row>
    <row r="849" spans="28:39" x14ac:dyDescent="0.25">
      <c r="AB849" s="253" t="str">
        <f t="shared" si="29"/>
        <v/>
      </c>
      <c r="AC849" s="254" t="str">
        <f>IF(COUNTIF(AD$78:AD849,AD849)=1,MAX(AC$78:AC848)+1,"")</f>
        <v/>
      </c>
      <c r="AD849" s="215">
        <f>'[2]Изложницы без бурта'!B849</f>
        <v>285</v>
      </c>
      <c r="AE849" s="215">
        <f>'[2]Изложницы без бурта'!C849</f>
        <v>375</v>
      </c>
      <c r="AF849" s="56">
        <f>'[2]Изложницы без бурта'!D849</f>
        <v>375</v>
      </c>
      <c r="AG849" s="56">
        <f>'[2]Изложницы без бурта'!E849</f>
        <v>450</v>
      </c>
      <c r="AH849" s="56" t="str">
        <f>'[2]Изложницы без бурта'!F849</f>
        <v>72.11874 - 26</v>
      </c>
      <c r="AI849" s="56">
        <f>'[2]Изложницы без бурта'!G849</f>
        <v>0</v>
      </c>
      <c r="AJ849" s="56">
        <f>'[2]Изложницы без бурта'!H849</f>
        <v>0</v>
      </c>
      <c r="AK849" s="56">
        <f>'[2]Изложницы без бурта'!I849</f>
        <v>0</v>
      </c>
      <c r="AL849" s="56" t="s">
        <v>645</v>
      </c>
      <c r="AM849" s="56">
        <f>'[2]Изложницы без бурта'!K849</f>
        <v>0</v>
      </c>
    </row>
    <row r="850" spans="28:39" x14ac:dyDescent="0.25">
      <c r="AB850" s="253" t="str">
        <f t="shared" si="29"/>
        <v/>
      </c>
      <c r="AC850" s="254" t="str">
        <f>IF(COUNTIF(AD$78:AD850,AD850)=1,MAX(AC$78:AC849)+1,"")</f>
        <v/>
      </c>
      <c r="AD850" s="215">
        <f>'[2]Изложницы без бурта'!B850</f>
        <v>285</v>
      </c>
      <c r="AE850" s="215">
        <f>'[2]Изложницы без бурта'!C850</f>
        <v>317</v>
      </c>
      <c r="AF850" s="56">
        <f>'[2]Изложницы без бурта'!D850</f>
        <v>360</v>
      </c>
      <c r="AG850" s="56">
        <f>'[2]Изложницы без бурта'!E850</f>
        <v>450</v>
      </c>
      <c r="AH850" s="56" t="str">
        <f>'[2]Изложницы без бурта'!F850</f>
        <v>72.11873 - 26</v>
      </c>
      <c r="AI850" s="56">
        <f>'[2]Изложницы без бурта'!G850</f>
        <v>0</v>
      </c>
      <c r="AJ850" s="56">
        <f>'[2]Изложницы без бурта'!H850</f>
        <v>0</v>
      </c>
      <c r="AK850" s="56">
        <f>'[2]Изложницы без бурта'!I850</f>
        <v>0</v>
      </c>
      <c r="AL850" s="56" t="s">
        <v>645</v>
      </c>
      <c r="AM850" s="56">
        <f>'[2]Изложницы без бурта'!K850</f>
        <v>0</v>
      </c>
    </row>
    <row r="851" spans="28:39" x14ac:dyDescent="0.25">
      <c r="AB851" s="253" t="str">
        <f t="shared" si="29"/>
        <v/>
      </c>
      <c r="AC851" s="254" t="str">
        <f>IF(COUNTIF(AD$78:AD851,AD851)=1,MAX(AC$78:AC850)+1,"")</f>
        <v/>
      </c>
      <c r="AD851" s="215">
        <f>'[2]Изложницы без бурта'!B851</f>
        <v>285</v>
      </c>
      <c r="AE851" s="215">
        <f>'[2]Изложницы без бурта'!C851</f>
        <v>318</v>
      </c>
      <c r="AF851" s="56">
        <f>'[2]Изложницы без бурта'!D851</f>
        <v>360</v>
      </c>
      <c r="AG851" s="56">
        <f>'[2]Изложницы без бурта'!E851</f>
        <v>450</v>
      </c>
      <c r="AH851" s="56" t="str">
        <f>'[2]Изложницы без бурта'!F851</f>
        <v>72.11873 - 26</v>
      </c>
      <c r="AI851" s="56">
        <f>'[2]Изложницы без бурта'!G851</f>
        <v>0</v>
      </c>
      <c r="AJ851" s="56">
        <f>'[2]Изложницы без бурта'!H851</f>
        <v>0</v>
      </c>
      <c r="AK851" s="56">
        <f>'[2]Изложницы без бурта'!I851</f>
        <v>0</v>
      </c>
      <c r="AL851" s="56" t="s">
        <v>645</v>
      </c>
      <c r="AM851" s="56">
        <f>'[2]Изложницы без бурта'!K851</f>
        <v>0</v>
      </c>
    </row>
    <row r="852" spans="28:39" x14ac:dyDescent="0.25">
      <c r="AB852" s="253" t="str">
        <f t="shared" si="29"/>
        <v/>
      </c>
      <c r="AC852" s="254" t="str">
        <f>IF(COUNTIF(AD$78:AD852,AD852)=1,MAX(AC$78:AC851)+1,"")</f>
        <v/>
      </c>
      <c r="AD852" s="215">
        <f>'[2]Изложницы без бурта'!B852</f>
        <v>285</v>
      </c>
      <c r="AE852" s="215">
        <f>'[2]Изложницы без бурта'!C852</f>
        <v>437</v>
      </c>
      <c r="AF852" s="56">
        <f>'[2]Изложницы без бурта'!D852</f>
        <v>375</v>
      </c>
      <c r="AG852" s="56">
        <f>'[2]Изложницы без бурта'!E852</f>
        <v>400</v>
      </c>
      <c r="AH852" s="56" t="str">
        <f>'[2]Изложницы без бурта'!F852</f>
        <v>10.241070 - 2</v>
      </c>
      <c r="AI852" s="56">
        <f>'[2]Изложницы без бурта'!G852</f>
        <v>0</v>
      </c>
      <c r="AJ852" s="56">
        <f>'[2]Изложницы без бурта'!H852</f>
        <v>0</v>
      </c>
      <c r="AK852" s="56">
        <f>'[2]Изложницы без бурта'!I852</f>
        <v>0</v>
      </c>
      <c r="AL852" s="56" t="s">
        <v>645</v>
      </c>
      <c r="AM852" s="56">
        <f>'[2]Изложницы без бурта'!K852</f>
        <v>0</v>
      </c>
    </row>
    <row r="853" spans="28:39" x14ac:dyDescent="0.25">
      <c r="AB853" s="253" t="str">
        <f t="shared" si="29"/>
        <v/>
      </c>
      <c r="AC853" s="254" t="str">
        <f>IF(COUNTIF(AD$78:AD853,AD853)=1,MAX(AC$78:AC852)+1,"")</f>
        <v/>
      </c>
      <c r="AD853" s="215">
        <f>'[2]Изложницы без бурта'!B853</f>
        <v>285</v>
      </c>
      <c r="AE853" s="215">
        <f>'[2]Изложницы без бурта'!C853</f>
        <v>320</v>
      </c>
      <c r="AF853" s="56">
        <f>'[2]Изложницы без бурта'!D853</f>
        <v>360</v>
      </c>
      <c r="AG853" s="56">
        <f>'[2]Изложницы без бурта'!E853</f>
        <v>450</v>
      </c>
      <c r="AH853" s="56" t="str">
        <f>'[2]Изложницы без бурта'!F853</f>
        <v>72.11873 - 26</v>
      </c>
      <c r="AI853" s="56">
        <f>'[2]Изложницы без бурта'!G853</f>
        <v>0</v>
      </c>
      <c r="AJ853" s="56">
        <f>'[2]Изложницы без бурта'!H853</f>
        <v>0</v>
      </c>
      <c r="AK853" s="56">
        <f>'[2]Изложницы без бурта'!I853</f>
        <v>0</v>
      </c>
      <c r="AL853" s="56" t="s">
        <v>645</v>
      </c>
      <c r="AM853" s="56">
        <f>'[2]Изложницы без бурта'!K853</f>
        <v>0</v>
      </c>
    </row>
    <row r="854" spans="28:39" x14ac:dyDescent="0.25">
      <c r="AB854" s="253" t="str">
        <f t="shared" si="29"/>
        <v/>
      </c>
      <c r="AC854" s="254" t="str">
        <f>IF(COUNTIF(AD$78:AD854,AD854)=1,MAX(AC$78:AC853)+1,"")</f>
        <v/>
      </c>
      <c r="AD854" s="215">
        <f>'[2]Изложницы без бурта'!B854</f>
        <v>285</v>
      </c>
      <c r="AE854" s="215">
        <f>'[2]Изложницы без бурта'!C854</f>
        <v>260</v>
      </c>
      <c r="AF854" s="56">
        <f>'[2]Изложницы без бурта'!D854</f>
        <v>360</v>
      </c>
      <c r="AG854" s="56">
        <f>'[2]Изложницы без бурта'!E854</f>
        <v>450</v>
      </c>
      <c r="AH854" s="56" t="str">
        <f>'[2]Изложницы без бурта'!F854</f>
        <v>72.11872 - 26</v>
      </c>
      <c r="AI854" s="56">
        <f>'[2]Изложницы без бурта'!G854</f>
        <v>0</v>
      </c>
      <c r="AJ854" s="56">
        <f>'[2]Изложницы без бурта'!H854</f>
        <v>0</v>
      </c>
      <c r="AK854" s="56">
        <f>'[2]Изложницы без бурта'!I854</f>
        <v>0</v>
      </c>
      <c r="AL854" s="56" t="s">
        <v>645</v>
      </c>
      <c r="AM854" s="56">
        <f>'[2]Изложницы без бурта'!K854</f>
        <v>0</v>
      </c>
    </row>
    <row r="855" spans="28:39" x14ac:dyDescent="0.25">
      <c r="AB855" s="253" t="str">
        <f t="shared" si="29"/>
        <v/>
      </c>
      <c r="AC855" s="254" t="str">
        <f>IF(COUNTIF(AD$78:AD855,AD855)=1,MAX(AC$78:AC854)+1,"")</f>
        <v/>
      </c>
      <c r="AD855" s="215">
        <f>'[2]Изложницы без бурта'!B855</f>
        <v>285</v>
      </c>
      <c r="AE855" s="215">
        <f>'[2]Изложницы без бурта'!C855</f>
        <v>257</v>
      </c>
      <c r="AF855" s="56">
        <f>'[2]Изложницы без бурта'!D855</f>
        <v>360</v>
      </c>
      <c r="AG855" s="56">
        <f>'[2]Изложницы без бурта'!E855</f>
        <v>450</v>
      </c>
      <c r="AH855" s="56" t="str">
        <f>'[2]Изложницы без бурта'!F855</f>
        <v>72.11872 - 26</v>
      </c>
      <c r="AI855" s="56">
        <f>'[2]Изложницы без бурта'!G855</f>
        <v>0</v>
      </c>
      <c r="AJ855" s="56">
        <f>'[2]Изложницы без бурта'!H855</f>
        <v>0</v>
      </c>
      <c r="AK855" s="56">
        <f>'[2]Изложницы без бурта'!I855</f>
        <v>0</v>
      </c>
      <c r="AL855" s="56" t="s">
        <v>645</v>
      </c>
      <c r="AM855" s="56">
        <f>'[2]Изложницы без бурта'!K855</f>
        <v>0</v>
      </c>
    </row>
    <row r="856" spans="28:39" x14ac:dyDescent="0.25">
      <c r="AB856" s="253" t="str">
        <f t="shared" si="29"/>
        <v/>
      </c>
      <c r="AC856" s="254" t="str">
        <f>IF(COUNTIF(AD$78:AD856,AD856)=1,MAX(AC$78:AC855)+1,"")</f>
        <v/>
      </c>
      <c r="AD856" s="215">
        <f>'[2]Изложницы без бурта'!B856</f>
        <v>285</v>
      </c>
      <c r="AE856" s="215">
        <f>'[2]Изложницы без бурта'!C856</f>
        <v>440</v>
      </c>
      <c r="AF856" s="56">
        <f>'[2]Изложницы без бурта'!D856</f>
        <v>375</v>
      </c>
      <c r="AG856" s="56">
        <f>'[2]Изложницы без бурта'!E856</f>
        <v>400</v>
      </c>
      <c r="AH856" s="56" t="str">
        <f>'[2]Изложницы без бурта'!F856</f>
        <v>10.241070 - 2</v>
      </c>
      <c r="AI856" s="56">
        <f>'[2]Изложницы без бурта'!G856</f>
        <v>0</v>
      </c>
      <c r="AJ856" s="56">
        <f>'[2]Изложницы без бурта'!H856</f>
        <v>0</v>
      </c>
      <c r="AK856" s="56">
        <f>'[2]Изложницы без бурта'!I856</f>
        <v>0</v>
      </c>
      <c r="AL856" s="56" t="s">
        <v>645</v>
      </c>
      <c r="AM856" s="56">
        <f>'[2]Изложницы без бурта'!K856</f>
        <v>0</v>
      </c>
    </row>
    <row r="857" spans="28:39" x14ac:dyDescent="0.25">
      <c r="AB857" s="253" t="str">
        <f t="shared" si="29"/>
        <v/>
      </c>
      <c r="AC857" s="254" t="str">
        <f>IF(COUNTIF(AD$78:AD857,AD857)=1,MAX(AC$78:AC856)+1,"")</f>
        <v/>
      </c>
      <c r="AD857" s="215">
        <f>'[2]Изложницы без бурта'!B857</f>
        <v>285</v>
      </c>
      <c r="AE857" s="215">
        <f>'[2]Изложницы без бурта'!C857</f>
        <v>320</v>
      </c>
      <c r="AF857" s="56">
        <f>'[2]Изложницы без бурта'!D857</f>
        <v>360</v>
      </c>
      <c r="AG857" s="56">
        <f>'[2]Изложницы без бурта'!E857</f>
        <v>450</v>
      </c>
      <c r="AH857" s="56" t="str">
        <f>'[2]Изложницы без бурта'!F857</f>
        <v>72.11873 - 26</v>
      </c>
      <c r="AI857" s="56">
        <f>'[2]Изложницы без бурта'!G857</f>
        <v>0</v>
      </c>
      <c r="AJ857" s="56">
        <f>'[2]Изложницы без бурта'!H857</f>
        <v>0</v>
      </c>
      <c r="AK857" s="56">
        <f>'[2]Изложницы без бурта'!I857</f>
        <v>0</v>
      </c>
      <c r="AL857" s="56" t="s">
        <v>645</v>
      </c>
      <c r="AM857" s="56">
        <f>'[2]Изложницы без бурта'!K857</f>
        <v>0</v>
      </c>
    </row>
    <row r="858" spans="28:39" x14ac:dyDescent="0.25">
      <c r="AB858" s="253" t="str">
        <f t="shared" si="29"/>
        <v/>
      </c>
      <c r="AC858" s="254" t="str">
        <f>IF(COUNTIF(AD$78:AD858,AD858)=1,MAX(AC$78:AC857)+1,"")</f>
        <v/>
      </c>
      <c r="AD858" s="215">
        <f>'[2]Изложницы без бурта'!B858</f>
        <v>285</v>
      </c>
      <c r="AE858" s="215">
        <f>'[2]Изложницы без бурта'!C858</f>
        <v>260</v>
      </c>
      <c r="AF858" s="56">
        <f>'[2]Изложницы без бурта'!D858</f>
        <v>375</v>
      </c>
      <c r="AG858" s="56">
        <f>'[2]Изложницы без бурта'!E858</f>
        <v>450</v>
      </c>
      <c r="AH858" s="56" t="str">
        <f>'[2]Изложницы без бурта'!F858</f>
        <v>72.11872 - 26</v>
      </c>
      <c r="AI858" s="56">
        <f>'[2]Изложницы без бурта'!G858</f>
        <v>0</v>
      </c>
      <c r="AJ858" s="56">
        <f>'[2]Изложницы без бурта'!H858</f>
        <v>0</v>
      </c>
      <c r="AK858" s="56">
        <f>'[2]Изложницы без бурта'!I858</f>
        <v>0</v>
      </c>
      <c r="AL858" s="56" t="s">
        <v>645</v>
      </c>
      <c r="AM858" s="56">
        <f>'[2]Изложницы без бурта'!K858</f>
        <v>0</v>
      </c>
    </row>
    <row r="859" spans="28:39" x14ac:dyDescent="0.25">
      <c r="AB859" s="253" t="str">
        <f t="shared" si="29"/>
        <v/>
      </c>
      <c r="AC859" s="254" t="str">
        <f>IF(COUNTIF(AD$78:AD859,AD859)=1,MAX(AC$78:AC858)+1,"")</f>
        <v/>
      </c>
      <c r="AD859" s="215">
        <f>'[2]Изложницы без бурта'!B859</f>
        <v>285</v>
      </c>
      <c r="AE859" s="215">
        <f>'[2]Изложницы без бурта'!C859</f>
        <v>318</v>
      </c>
      <c r="AF859" s="56">
        <f>'[2]Изложницы без бурта'!D859</f>
        <v>360</v>
      </c>
      <c r="AG859" s="56">
        <f>'[2]Изложницы без бурта'!E859</f>
        <v>450</v>
      </c>
      <c r="AH859" s="56" t="str">
        <f>'[2]Изложницы без бурта'!F859</f>
        <v>72.11873 - 26</v>
      </c>
      <c r="AI859" s="56">
        <f>'[2]Изложницы без бурта'!G859</f>
        <v>0</v>
      </c>
      <c r="AJ859" s="56">
        <f>'[2]Изложницы без бурта'!H859</f>
        <v>0</v>
      </c>
      <c r="AK859" s="56">
        <f>'[2]Изложницы без бурта'!I859</f>
        <v>0</v>
      </c>
      <c r="AL859" s="56" t="s">
        <v>645</v>
      </c>
      <c r="AM859" s="56">
        <f>'[2]Изложницы без бурта'!K859</f>
        <v>0</v>
      </c>
    </row>
    <row r="860" spans="28:39" x14ac:dyDescent="0.25">
      <c r="AB860" s="253" t="str">
        <f t="shared" si="29"/>
        <v/>
      </c>
      <c r="AC860" s="254" t="str">
        <f>IF(COUNTIF(AD$78:AD860,AD860)=1,MAX(AC$78:AC859)+1,"")</f>
        <v/>
      </c>
      <c r="AD860" s="215">
        <f>'[2]Изложницы без бурта'!B860</f>
        <v>285</v>
      </c>
      <c r="AE860" s="215">
        <f>'[2]Изложницы без бурта'!C860</f>
        <v>260</v>
      </c>
      <c r="AF860" s="56">
        <f>'[2]Изложницы без бурта'!D860</f>
        <v>360</v>
      </c>
      <c r="AG860" s="56">
        <f>'[2]Изложницы без бурта'!E860</f>
        <v>450</v>
      </c>
      <c r="AH860" s="56" t="str">
        <f>'[2]Изложницы без бурта'!F860</f>
        <v>72.11872 - 26</v>
      </c>
      <c r="AI860" s="56">
        <f>'[2]Изложницы без бурта'!G860</f>
        <v>0</v>
      </c>
      <c r="AJ860" s="56">
        <f>'[2]Изложницы без бурта'!H860</f>
        <v>0</v>
      </c>
      <c r="AK860" s="56">
        <f>'[2]Изложницы без бурта'!I860</f>
        <v>0</v>
      </c>
      <c r="AL860" s="56" t="s">
        <v>645</v>
      </c>
      <c r="AM860" s="56">
        <f>'[2]Изложницы без бурта'!K860</f>
        <v>0</v>
      </c>
    </row>
    <row r="861" spans="28:39" x14ac:dyDescent="0.25">
      <c r="AB861" s="253" t="str">
        <f t="shared" si="29"/>
        <v/>
      </c>
      <c r="AC861" s="254">
        <f>IF(COUNTIF(AD$78:AD861,AD861)=1,MAX(AC$78:AC860)+1,"")</f>
        <v>79</v>
      </c>
      <c r="AD861" s="215">
        <f>'[2]Изложницы без бурта'!B861</f>
        <v>287.5</v>
      </c>
      <c r="AE861" s="215">
        <f>'[2]Изложницы без бурта'!C861</f>
        <v>495</v>
      </c>
      <c r="AF861" s="56">
        <f>'[2]Изложницы без бурта'!D861</f>
        <v>375</v>
      </c>
      <c r="AG861" s="56">
        <f>'[2]Изложницы без бурта'!E861</f>
        <v>400</v>
      </c>
      <c r="AH861" s="56" t="str">
        <f>'[2]Изложницы без бурта'!F861</f>
        <v>72.23398 - 27</v>
      </c>
      <c r="AI861" s="56">
        <f>'[2]Изложницы без бурта'!G861</f>
        <v>7260045</v>
      </c>
      <c r="AJ861" s="56">
        <f>'[2]Изложницы без бурта'!H861</f>
        <v>0</v>
      </c>
      <c r="AK861" s="56">
        <f>'[2]Изложницы без бурта'!I861</f>
        <v>0</v>
      </c>
      <c r="AL861" s="56" t="s">
        <v>645</v>
      </c>
      <c r="AM861" s="56">
        <f>'[2]Изложницы без бурта'!K861</f>
        <v>0</v>
      </c>
    </row>
    <row r="862" spans="28:39" x14ac:dyDescent="0.25">
      <c r="AB862" s="253" t="str">
        <f t="shared" si="29"/>
        <v/>
      </c>
      <c r="AC862" s="254" t="str">
        <f>IF(COUNTIF(AD$78:AD862,AD862)=1,MAX(AC$78:AC861)+1,"")</f>
        <v/>
      </c>
      <c r="AD862" s="215">
        <f>'[2]Изложницы без бурта'!B862</f>
        <v>287.5</v>
      </c>
      <c r="AE862" s="215">
        <f>'[2]Изложницы без бурта'!C862</f>
        <v>258</v>
      </c>
      <c r="AF862" s="56">
        <f>'[2]Изложницы без бурта'!D862</f>
        <v>360</v>
      </c>
      <c r="AG862" s="56">
        <f>'[2]Изложницы без бурта'!E862</f>
        <v>450</v>
      </c>
      <c r="AH862" s="56" t="str">
        <f>'[2]Изложницы без бурта'!F862</f>
        <v>72.11872 - 27</v>
      </c>
      <c r="AI862" s="56">
        <f>'[2]Изложницы без бурта'!G862</f>
        <v>0</v>
      </c>
      <c r="AJ862" s="56">
        <f>'[2]Изложницы без бурта'!H862</f>
        <v>0</v>
      </c>
      <c r="AK862" s="56">
        <f>'[2]Изложницы без бурта'!I862</f>
        <v>0</v>
      </c>
      <c r="AL862" s="56" t="s">
        <v>645</v>
      </c>
      <c r="AM862" s="56">
        <f>'[2]Изложницы без бурта'!K862</f>
        <v>0</v>
      </c>
    </row>
    <row r="863" spans="28:39" x14ac:dyDescent="0.25">
      <c r="AB863" s="253" t="str">
        <f t="shared" si="29"/>
        <v/>
      </c>
      <c r="AC863" s="254" t="str">
        <f>IF(COUNTIF(AD$78:AD863,AD863)=1,MAX(AC$78:AC862)+1,"")</f>
        <v/>
      </c>
      <c r="AD863" s="215">
        <f>'[2]Изложницы без бурта'!B863</f>
        <v>287.5</v>
      </c>
      <c r="AE863" s="215">
        <f>'[2]Изложницы без бурта'!C863</f>
        <v>415</v>
      </c>
      <c r="AF863" s="56">
        <f>'[2]Изложницы без бурта'!D863</f>
        <v>360</v>
      </c>
      <c r="AG863" s="56">
        <f>'[2]Изложницы без бурта'!E863</f>
        <v>400</v>
      </c>
      <c r="AH863" s="56" t="str">
        <f>'[2]Изложницы без бурта'!F863</f>
        <v>72.42346 - 04</v>
      </c>
      <c r="AI863" s="56">
        <f>'[2]Изложницы без бурта'!G863</f>
        <v>7260046</v>
      </c>
      <c r="AJ863" s="56">
        <f>'[2]Изложницы без бурта'!H863</f>
        <v>0</v>
      </c>
      <c r="AK863" s="56">
        <f>'[2]Изложницы без бурта'!I863</f>
        <v>0</v>
      </c>
      <c r="AL863" s="56" t="s">
        <v>645</v>
      </c>
      <c r="AM863" s="56">
        <f>'[2]Изложницы без бурта'!K863</f>
        <v>0</v>
      </c>
    </row>
    <row r="864" spans="28:39" x14ac:dyDescent="0.25">
      <c r="AB864" s="253" t="str">
        <f t="shared" si="29"/>
        <v/>
      </c>
      <c r="AC864" s="254" t="str">
        <f>IF(COUNTIF(AD$78:AD864,AD864)=1,MAX(AC$78:AC863)+1,"")</f>
        <v/>
      </c>
      <c r="AD864" s="215">
        <f>'[2]Изложницы без бурта'!B864</f>
        <v>287.5</v>
      </c>
      <c r="AE864" s="215">
        <f>'[2]Изложницы без бурта'!C864</f>
        <v>440</v>
      </c>
      <c r="AF864" s="56">
        <f>'[2]Изложницы без бурта'!D864</f>
        <v>375</v>
      </c>
      <c r="AG864" s="56">
        <f>'[2]Изложницы без бурта'!E864</f>
        <v>400</v>
      </c>
      <c r="AH864" s="56" t="str">
        <f>'[2]Изложницы без бурта'!F864</f>
        <v>10.241070 - 3</v>
      </c>
      <c r="AI864" s="56">
        <f>'[2]Изложницы без бурта'!G864</f>
        <v>0</v>
      </c>
      <c r="AJ864" s="56">
        <f>'[2]Изложницы без бурта'!H864</f>
        <v>0</v>
      </c>
      <c r="AK864" s="56">
        <f>'[2]Изложницы без бурта'!I864</f>
        <v>0</v>
      </c>
      <c r="AL864" s="56" t="s">
        <v>646</v>
      </c>
      <c r="AM864" s="56">
        <f>'[2]Изложницы без бурта'!K864</f>
        <v>0</v>
      </c>
    </row>
    <row r="865" spans="28:39" x14ac:dyDescent="0.25">
      <c r="AB865" s="253" t="str">
        <f t="shared" si="29"/>
        <v/>
      </c>
      <c r="AC865" s="254" t="str">
        <f>IF(COUNTIF(AD$78:AD865,AD865)=1,MAX(AC$78:AC864)+1,"")</f>
        <v/>
      </c>
      <c r="AD865" s="215">
        <f>'[2]Изложницы без бурта'!B865</f>
        <v>287.5</v>
      </c>
      <c r="AE865" s="215">
        <f>'[2]Изложницы без бурта'!C865</f>
        <v>260</v>
      </c>
      <c r="AF865" s="56">
        <f>'[2]Изложницы без бурта'!D865</f>
        <v>360</v>
      </c>
      <c r="AG865" s="56">
        <f>'[2]Изложницы без бурта'!E865</f>
        <v>450</v>
      </c>
      <c r="AH865" s="56" t="str">
        <f>'[2]Изложницы без бурта'!F865</f>
        <v>72.11872 - 27</v>
      </c>
      <c r="AI865" s="56">
        <f>'[2]Изложницы без бурта'!G865</f>
        <v>0</v>
      </c>
      <c r="AJ865" s="56">
        <f>'[2]Изложницы без бурта'!H865</f>
        <v>0</v>
      </c>
      <c r="AK865" s="56">
        <f>'[2]Изложницы без бурта'!I865</f>
        <v>0</v>
      </c>
      <c r="AL865" s="56" t="s">
        <v>646</v>
      </c>
      <c r="AM865" s="56">
        <f>'[2]Изложницы без бурта'!K865</f>
        <v>0</v>
      </c>
    </row>
    <row r="866" spans="28:39" x14ac:dyDescent="0.25">
      <c r="AB866" s="253" t="str">
        <f t="shared" si="29"/>
        <v/>
      </c>
      <c r="AC866" s="254" t="str">
        <f>IF(COUNTIF(AD$78:AD866,AD866)=1,MAX(AC$78:AC865)+1,"")</f>
        <v/>
      </c>
      <c r="AD866" s="215">
        <f>'[2]Изложницы без бурта'!B866</f>
        <v>287.5</v>
      </c>
      <c r="AE866" s="215">
        <f>'[2]Изложницы без бурта'!C866</f>
        <v>258</v>
      </c>
      <c r="AF866" s="56">
        <f>'[2]Изложницы без бурта'!D866</f>
        <v>360</v>
      </c>
      <c r="AG866" s="56">
        <f>'[2]Изложницы без бурта'!E866</f>
        <v>450</v>
      </c>
      <c r="AH866" s="56" t="str">
        <f>'[2]Изложницы без бурта'!F866</f>
        <v>72.11872 - 27</v>
      </c>
      <c r="AI866" s="56">
        <f>'[2]Изложницы без бурта'!G866</f>
        <v>0</v>
      </c>
      <c r="AJ866" s="56">
        <f>'[2]Изложницы без бурта'!H866</f>
        <v>0</v>
      </c>
      <c r="AK866" s="56">
        <f>'[2]Изложницы без бурта'!I866</f>
        <v>0</v>
      </c>
      <c r="AL866" s="56" t="s">
        <v>646</v>
      </c>
      <c r="AM866" s="56">
        <f>'[2]Изложницы без бурта'!K866</f>
        <v>0</v>
      </c>
    </row>
    <row r="867" spans="28:39" x14ac:dyDescent="0.25">
      <c r="AB867" s="253" t="str">
        <f t="shared" si="29"/>
        <v/>
      </c>
      <c r="AC867" s="254" t="str">
        <f>IF(COUNTIF(AD$78:AD867,AD867)=1,MAX(AC$78:AC866)+1,"")</f>
        <v/>
      </c>
      <c r="AD867" s="215">
        <f>'[2]Изложницы без бурта'!B867</f>
        <v>287.5</v>
      </c>
      <c r="AE867" s="215">
        <f>'[2]Изложницы без бурта'!C867</f>
        <v>440</v>
      </c>
      <c r="AF867" s="56">
        <f>'[2]Изложницы без бурта'!D867</f>
        <v>375</v>
      </c>
      <c r="AG867" s="56">
        <f>'[2]Изложницы без бурта'!E867</f>
        <v>400</v>
      </c>
      <c r="AH867" s="56" t="str">
        <f>'[2]Изложницы без бурта'!F867</f>
        <v>10.241070 - 3</v>
      </c>
      <c r="AI867" s="56">
        <f>'[2]Изложницы без бурта'!G867</f>
        <v>0</v>
      </c>
      <c r="AJ867" s="56">
        <f>'[2]Изложницы без бурта'!H867</f>
        <v>0</v>
      </c>
      <c r="AK867" s="56">
        <f>'[2]Изложницы без бурта'!I867</f>
        <v>0</v>
      </c>
      <c r="AL867" s="56" t="s">
        <v>646</v>
      </c>
      <c r="AM867" s="56">
        <f>'[2]Изложницы без бурта'!K867</f>
        <v>0</v>
      </c>
    </row>
    <row r="868" spans="28:39" x14ac:dyDescent="0.25">
      <c r="AB868" s="253" t="str">
        <f t="shared" si="29"/>
        <v/>
      </c>
      <c r="AC868" s="254" t="str">
        <f>IF(COUNTIF(AD$78:AD868,AD868)=1,MAX(AC$78:AC867)+1,"")</f>
        <v/>
      </c>
      <c r="AD868" s="215">
        <f>'[2]Изложницы без бурта'!B868</f>
        <v>287.5</v>
      </c>
      <c r="AE868" s="215">
        <f>'[2]Изложницы без бурта'!C868</f>
        <v>260</v>
      </c>
      <c r="AF868" s="56">
        <f>'[2]Изложницы без бурта'!D868</f>
        <v>360</v>
      </c>
      <c r="AG868" s="56">
        <f>'[2]Изложницы без бурта'!E868</f>
        <v>450</v>
      </c>
      <c r="AH868" s="56" t="str">
        <f>'[2]Изложницы без бурта'!F868</f>
        <v>72.11872 - 27</v>
      </c>
      <c r="AI868" s="56">
        <f>'[2]Изложницы без бурта'!G868</f>
        <v>0</v>
      </c>
      <c r="AJ868" s="56">
        <f>'[2]Изложницы без бурта'!H868</f>
        <v>0</v>
      </c>
      <c r="AK868" s="56">
        <f>'[2]Изложницы без бурта'!I868</f>
        <v>0</v>
      </c>
      <c r="AL868" s="56" t="s">
        <v>646</v>
      </c>
      <c r="AM868" s="56">
        <f>'[2]Изложницы без бурта'!K868</f>
        <v>0</v>
      </c>
    </row>
    <row r="869" spans="28:39" x14ac:dyDescent="0.25">
      <c r="AB869" s="253" t="str">
        <f t="shared" si="29"/>
        <v/>
      </c>
      <c r="AC869" s="254" t="str">
        <f>IF(COUNTIF(AD$78:AD869,AD869)=1,MAX(AC$78:AC868)+1,"")</f>
        <v/>
      </c>
      <c r="AD869" s="215">
        <f>'[2]Изложницы без бурта'!B869</f>
        <v>287.5</v>
      </c>
      <c r="AE869" s="215">
        <f>'[2]Изложницы без бурта'!C869</f>
        <v>260</v>
      </c>
      <c r="AF869" s="56">
        <f>'[2]Изложницы без бурта'!D869</f>
        <v>360</v>
      </c>
      <c r="AG869" s="56">
        <f>'[2]Изложницы без бурта'!E869</f>
        <v>450</v>
      </c>
      <c r="AH869" s="56" t="str">
        <f>'[2]Изложницы без бурта'!F869</f>
        <v>72.11872 - 27</v>
      </c>
      <c r="AI869" s="56">
        <f>'[2]Изложницы без бурта'!G869</f>
        <v>0</v>
      </c>
      <c r="AJ869" s="56">
        <f>'[2]Изложницы без бурта'!H869</f>
        <v>0</v>
      </c>
      <c r="AK869" s="56">
        <f>'[2]Изложницы без бурта'!I869</f>
        <v>0</v>
      </c>
      <c r="AL869" s="56" t="s">
        <v>646</v>
      </c>
      <c r="AM869" s="56">
        <f>'[2]Изложницы без бурта'!K869</f>
        <v>0</v>
      </c>
    </row>
    <row r="870" spans="28:39" x14ac:dyDescent="0.25">
      <c r="AB870" s="253" t="str">
        <f t="shared" si="29"/>
        <v/>
      </c>
      <c r="AC870" s="254" t="str">
        <f>IF(COUNTIF(AD$78:AD870,AD870)=1,MAX(AC$78:AC869)+1,"")</f>
        <v/>
      </c>
      <c r="AD870" s="215">
        <f>'[2]Изложницы без бурта'!B870</f>
        <v>287.5</v>
      </c>
      <c r="AE870" s="215">
        <f>'[2]Изложницы без бурта'!C870</f>
        <v>438</v>
      </c>
      <c r="AF870" s="56">
        <f>'[2]Изложницы без бурта'!D870</f>
        <v>375</v>
      </c>
      <c r="AG870" s="56">
        <f>'[2]Изложницы без бурта'!E870</f>
        <v>400</v>
      </c>
      <c r="AH870" s="56" t="str">
        <f>'[2]Изложницы без бурта'!F870</f>
        <v>10.241070 - 3</v>
      </c>
      <c r="AI870" s="56">
        <f>'[2]Изложницы без бурта'!G870</f>
        <v>0</v>
      </c>
      <c r="AJ870" s="56">
        <f>'[2]Изложницы без бурта'!H870</f>
        <v>0</v>
      </c>
      <c r="AK870" s="56">
        <f>'[2]Изложницы без бурта'!I870</f>
        <v>0</v>
      </c>
      <c r="AL870" s="56" t="s">
        <v>646</v>
      </c>
      <c r="AM870" s="56">
        <f>'[2]Изложницы без бурта'!K870</f>
        <v>0</v>
      </c>
    </row>
    <row r="871" spans="28:39" x14ac:dyDescent="0.25">
      <c r="AB871" s="253" t="str">
        <f t="shared" si="29"/>
        <v/>
      </c>
      <c r="AC871" s="254">
        <f>IF(COUNTIF(AD$78:AD871,AD871)=1,MAX(AC$78:AC870)+1,"")</f>
        <v>80</v>
      </c>
      <c r="AD871" s="215">
        <f>'[2]Изложницы без бурта'!B871</f>
        <v>290</v>
      </c>
      <c r="AE871" s="215">
        <f>'[2]Изложницы без бурта'!C871</f>
        <v>255</v>
      </c>
      <c r="AF871" s="56">
        <f>'[2]Изложницы без бурта'!D871</f>
        <v>360</v>
      </c>
      <c r="AG871" s="56">
        <f>'[2]Изложницы без бурта'!E871</f>
        <v>450</v>
      </c>
      <c r="AH871" s="56" t="str">
        <f>'[2]Изложницы без бурта'!F871</f>
        <v>72.11872 - 28</v>
      </c>
      <c r="AI871" s="56">
        <f>'[2]Изложницы без бурта'!G871</f>
        <v>0</v>
      </c>
      <c r="AJ871" s="56">
        <f>'[2]Изложницы без бурта'!H871</f>
        <v>0</v>
      </c>
      <c r="AK871" s="56">
        <f>'[2]Изложницы без бурта'!I871</f>
        <v>0</v>
      </c>
      <c r="AL871" s="56" t="s">
        <v>646</v>
      </c>
      <c r="AM871" s="56">
        <f>'[2]Изложницы без бурта'!K871</f>
        <v>0</v>
      </c>
    </row>
    <row r="872" spans="28:39" x14ac:dyDescent="0.25">
      <c r="AB872" s="253" t="str">
        <f t="shared" si="29"/>
        <v/>
      </c>
      <c r="AC872" s="254" t="str">
        <f>IF(COUNTIF(AD$78:AD872,AD872)=1,MAX(AC$78:AC871)+1,"")</f>
        <v/>
      </c>
      <c r="AD872" s="215">
        <f>'[2]Изложницы без бурта'!B872</f>
        <v>290</v>
      </c>
      <c r="AE872" s="215">
        <f>'[2]Изложницы без бурта'!C872</f>
        <v>260</v>
      </c>
      <c r="AF872" s="56">
        <f>'[2]Изложницы без бурта'!D872</f>
        <v>360</v>
      </c>
      <c r="AG872" s="56">
        <f>'[2]Изложницы без бурта'!E872</f>
        <v>450</v>
      </c>
      <c r="AH872" s="56" t="str">
        <f>'[2]Изложницы без бурта'!F872</f>
        <v>72.11872 - 28</v>
      </c>
      <c r="AI872" s="56">
        <f>'[2]Изложницы без бурта'!G872</f>
        <v>0</v>
      </c>
      <c r="AJ872" s="56">
        <f>'[2]Изложницы без бурта'!H872</f>
        <v>0</v>
      </c>
      <c r="AK872" s="56">
        <f>'[2]Изложницы без бурта'!I872</f>
        <v>0</v>
      </c>
      <c r="AL872" s="56" t="s">
        <v>646</v>
      </c>
      <c r="AM872" s="56">
        <f>'[2]Изложницы без бурта'!K872</f>
        <v>0</v>
      </c>
    </row>
    <row r="873" spans="28:39" x14ac:dyDescent="0.25">
      <c r="AB873" s="253" t="str">
        <f t="shared" si="29"/>
        <v/>
      </c>
      <c r="AC873" s="254" t="str">
        <f>IF(COUNTIF(AD$78:AD873,AD873)=1,MAX(AC$78:AC872)+1,"")</f>
        <v/>
      </c>
      <c r="AD873" s="215">
        <f>'[2]Изложницы без бурта'!B873</f>
        <v>290</v>
      </c>
      <c r="AE873" s="215">
        <f>'[2]Изложницы без бурта'!C873</f>
        <v>260</v>
      </c>
      <c r="AF873" s="56">
        <f>'[2]Изложницы без бурта'!D873</f>
        <v>360</v>
      </c>
      <c r="AG873" s="56">
        <f>'[2]Изложницы без бурта'!E873</f>
        <v>450</v>
      </c>
      <c r="AH873" s="56" t="str">
        <f>'[2]Изложницы без бурта'!F873</f>
        <v>72.11872 - 28</v>
      </c>
      <c r="AI873" s="56">
        <f>'[2]Изложницы без бурта'!G873</f>
        <v>0</v>
      </c>
      <c r="AJ873" s="56">
        <f>'[2]Изложницы без бурта'!H873</f>
        <v>0</v>
      </c>
      <c r="AK873" s="56">
        <f>'[2]Изложницы без бурта'!I873</f>
        <v>0</v>
      </c>
      <c r="AL873" s="56" t="s">
        <v>646</v>
      </c>
      <c r="AM873" s="56">
        <f>'[2]Изложницы без бурта'!K873</f>
        <v>0</v>
      </c>
    </row>
    <row r="874" spans="28:39" x14ac:dyDescent="0.25">
      <c r="AB874" s="253" t="str">
        <f t="shared" si="29"/>
        <v/>
      </c>
      <c r="AC874" s="254" t="str">
        <f>IF(COUNTIF(AD$78:AD874,AD874)=1,MAX(AC$78:AC873)+1,"")</f>
        <v/>
      </c>
      <c r="AD874" s="215">
        <f>'[2]Изложницы без бурта'!B874</f>
        <v>290</v>
      </c>
      <c r="AE874" s="215">
        <f>'[2]Изложницы без бурта'!C874</f>
        <v>260</v>
      </c>
      <c r="AF874" s="56">
        <f>'[2]Изложницы без бурта'!D874</f>
        <v>360</v>
      </c>
      <c r="AG874" s="56">
        <f>'[2]Изложницы без бурта'!E874</f>
        <v>450</v>
      </c>
      <c r="AH874" s="56" t="str">
        <f>'[2]Изложницы без бурта'!F874</f>
        <v>72.11872 - 28</v>
      </c>
      <c r="AI874" s="56">
        <f>'[2]Изложницы без бурта'!G874</f>
        <v>0</v>
      </c>
      <c r="AJ874" s="56">
        <f>'[2]Изложницы без бурта'!H874</f>
        <v>0</v>
      </c>
      <c r="AK874" s="56">
        <f>'[2]Изложницы без бурта'!I874</f>
        <v>0</v>
      </c>
      <c r="AL874" s="56" t="s">
        <v>647</v>
      </c>
      <c r="AM874" s="56">
        <f>'[2]Изложницы без бурта'!K874</f>
        <v>0</v>
      </c>
    </row>
    <row r="875" spans="28:39" x14ac:dyDescent="0.25">
      <c r="AB875" s="253" t="str">
        <f t="shared" si="29"/>
        <v/>
      </c>
      <c r="AC875" s="254" t="str">
        <f>IF(COUNTIF(AD$78:AD875,AD875)=1,MAX(AC$78:AC874)+1,"")</f>
        <v/>
      </c>
      <c r="AD875" s="215">
        <f>'[2]Изложницы без бурта'!B875</f>
        <v>290</v>
      </c>
      <c r="AE875" s="215">
        <f>'[2]Изложницы без бурта'!C875</f>
        <v>260</v>
      </c>
      <c r="AF875" s="56">
        <f>'[2]Изложницы без бурта'!D875</f>
        <v>375</v>
      </c>
      <c r="AG875" s="56">
        <f>'[2]Изложницы без бурта'!E875</f>
        <v>450</v>
      </c>
      <c r="AH875" s="56" t="str">
        <f>'[2]Изложницы без бурта'!F875</f>
        <v>72.11872 - 28</v>
      </c>
      <c r="AI875" s="56">
        <f>'[2]Изложницы без бурта'!G875</f>
        <v>0</v>
      </c>
      <c r="AJ875" s="56">
        <f>'[2]Изложницы без бурта'!H875</f>
        <v>0</v>
      </c>
      <c r="AK875" s="56">
        <f>'[2]Изложницы без бурта'!I875</f>
        <v>0</v>
      </c>
      <c r="AL875" s="56" t="s">
        <v>647</v>
      </c>
      <c r="AM875" s="56">
        <f>'[2]Изложницы без бурта'!K875</f>
        <v>0</v>
      </c>
    </row>
    <row r="876" spans="28:39" x14ac:dyDescent="0.25">
      <c r="AB876" s="253" t="str">
        <f t="shared" si="29"/>
        <v/>
      </c>
      <c r="AC876" s="254" t="str">
        <f>IF(COUNTIF(AD$78:AD876,AD876)=1,MAX(AC$78:AC875)+1,"")</f>
        <v/>
      </c>
      <c r="AD876" s="215">
        <f>'[2]Изложницы без бурта'!B876</f>
        <v>290</v>
      </c>
      <c r="AE876" s="215">
        <f>'[2]Изложницы без бурта'!C876</f>
        <v>317</v>
      </c>
      <c r="AF876" s="56">
        <f>'[2]Изложницы без бурта'!D876</f>
        <v>375</v>
      </c>
      <c r="AG876" s="56">
        <f>'[2]Изложницы без бурта'!E876</f>
        <v>450</v>
      </c>
      <c r="AH876" s="56" t="str">
        <f>'[2]Изложницы без бурта'!F876</f>
        <v>72.11873 - 28</v>
      </c>
      <c r="AI876" s="56">
        <f>'[2]Изложницы без бурта'!G876</f>
        <v>0</v>
      </c>
      <c r="AJ876" s="56">
        <f>'[2]Изложницы без бурта'!H876</f>
        <v>0</v>
      </c>
      <c r="AK876" s="56">
        <f>'[2]Изложницы без бурта'!I876</f>
        <v>0</v>
      </c>
      <c r="AL876" s="56" t="s">
        <v>647</v>
      </c>
      <c r="AM876" s="56">
        <f>'[2]Изложницы без бурта'!K876</f>
        <v>0</v>
      </c>
    </row>
    <row r="877" spans="28:39" x14ac:dyDescent="0.25">
      <c r="AB877" s="253" t="str">
        <f t="shared" si="29"/>
        <v/>
      </c>
      <c r="AC877" s="254" t="str">
        <f>IF(COUNTIF(AD$78:AD877,AD877)=1,MAX(AC$78:AC876)+1,"")</f>
        <v/>
      </c>
      <c r="AD877" s="215">
        <f>'[2]Изложницы без бурта'!B877</f>
        <v>290</v>
      </c>
      <c r="AE877" s="215">
        <f>'[2]Изложницы без бурта'!C877</f>
        <v>315</v>
      </c>
      <c r="AF877" s="56">
        <f>'[2]Изложницы без бурта'!D877</f>
        <v>375</v>
      </c>
      <c r="AG877" s="56">
        <f>'[2]Изложницы без бурта'!E877</f>
        <v>450</v>
      </c>
      <c r="AH877" s="56" t="str">
        <f>'[2]Изложницы без бурта'!F877</f>
        <v>72.11873 - 28</v>
      </c>
      <c r="AI877" s="56">
        <f>'[2]Изложницы без бурта'!G877</f>
        <v>0</v>
      </c>
      <c r="AJ877" s="56">
        <f>'[2]Изложницы без бурта'!H877</f>
        <v>0</v>
      </c>
      <c r="AK877" s="56">
        <f>'[2]Изложницы без бурта'!I877</f>
        <v>0</v>
      </c>
      <c r="AL877" s="56" t="s">
        <v>647</v>
      </c>
      <c r="AM877" s="56">
        <f>'[2]Изложницы без бурта'!K877</f>
        <v>0</v>
      </c>
    </row>
    <row r="878" spans="28:39" x14ac:dyDescent="0.25">
      <c r="AB878" s="253" t="str">
        <f t="shared" si="29"/>
        <v/>
      </c>
      <c r="AC878" s="254" t="str">
        <f>IF(COUNTIF(AD$78:AD878,AD878)=1,MAX(AC$78:AC877)+1,"")</f>
        <v/>
      </c>
      <c r="AD878" s="215">
        <f>'[2]Изложницы без бурта'!B878</f>
        <v>290</v>
      </c>
      <c r="AE878" s="215">
        <f>'[2]Изложницы без бурта'!C878</f>
        <v>412</v>
      </c>
      <c r="AF878" s="56">
        <f>'[2]Изложницы без бурта'!D878</f>
        <v>360</v>
      </c>
      <c r="AG878" s="56">
        <f>'[2]Изложницы без бурта'!E878</f>
        <v>400</v>
      </c>
      <c r="AH878" s="56" t="str">
        <f>'[2]Изложницы без бурта'!F878</f>
        <v>72.42346 - 05</v>
      </c>
      <c r="AI878" s="56">
        <f>'[2]Изложницы без бурта'!G878</f>
        <v>7260047</v>
      </c>
      <c r="AJ878" s="56">
        <f>'[2]Изложницы без бурта'!H878</f>
        <v>0</v>
      </c>
      <c r="AK878" s="56">
        <f>'[2]Изложницы без бурта'!I878</f>
        <v>0</v>
      </c>
      <c r="AL878" s="56" t="s">
        <v>647</v>
      </c>
      <c r="AM878" s="56">
        <f>'[2]Изложницы без бурта'!K878</f>
        <v>0</v>
      </c>
    </row>
    <row r="879" spans="28:39" x14ac:dyDescent="0.25">
      <c r="AB879" s="253" t="str">
        <f t="shared" si="29"/>
        <v/>
      </c>
      <c r="AC879" s="254" t="str">
        <f>IF(COUNTIF(AD$78:AD879,AD879)=1,MAX(AC$78:AC878)+1,"")</f>
        <v/>
      </c>
      <c r="AD879" s="215">
        <f>'[2]Изложницы без бурта'!B879</f>
        <v>290</v>
      </c>
      <c r="AE879" s="215">
        <f>'[2]Изложницы без бурта'!C879</f>
        <v>375</v>
      </c>
      <c r="AF879" s="56">
        <f>'[2]Изложницы без бурта'!D879</f>
        <v>360</v>
      </c>
      <c r="AG879" s="56">
        <f>'[2]Изложницы без бурта'!E879</f>
        <v>450</v>
      </c>
      <c r="AH879" s="56" t="str">
        <f>'[2]Изложницы без бурта'!F879</f>
        <v>72.11874 - 28</v>
      </c>
      <c r="AI879" s="56">
        <f>'[2]Изложницы без бурта'!G879</f>
        <v>0</v>
      </c>
      <c r="AJ879" s="56">
        <f>'[2]Изложницы без бурта'!H879</f>
        <v>0</v>
      </c>
      <c r="AK879" s="56">
        <f>'[2]Изложницы без бурта'!I879</f>
        <v>0</v>
      </c>
      <c r="AL879" s="56" t="s">
        <v>647</v>
      </c>
      <c r="AM879" s="56">
        <f>'[2]Изложницы без бурта'!K879</f>
        <v>0</v>
      </c>
    </row>
    <row r="880" spans="28:39" x14ac:dyDescent="0.25">
      <c r="AB880" s="253" t="str">
        <f t="shared" si="29"/>
        <v/>
      </c>
      <c r="AC880" s="254" t="str">
        <f>IF(COUNTIF(AD$78:AD880,AD880)=1,MAX(AC$78:AC879)+1,"")</f>
        <v/>
      </c>
      <c r="AD880" s="215">
        <f>'[2]Изложницы без бурта'!B880</f>
        <v>290</v>
      </c>
      <c r="AE880" s="215">
        <f>'[2]Изложницы без бурта'!C880</f>
        <v>380</v>
      </c>
      <c r="AF880" s="56">
        <f>'[2]Изложницы без бурта'!D880</f>
        <v>360</v>
      </c>
      <c r="AG880" s="56">
        <f>'[2]Изложницы без бурта'!E880</f>
        <v>450</v>
      </c>
      <c r="AH880" s="56" t="str">
        <f>'[2]Изложницы без бурта'!F880</f>
        <v>72.11874 - 28</v>
      </c>
      <c r="AI880" s="56">
        <f>'[2]Изложницы без бурта'!G880</f>
        <v>0</v>
      </c>
      <c r="AJ880" s="56">
        <f>'[2]Изложницы без бурта'!H880</f>
        <v>0</v>
      </c>
      <c r="AK880" s="56">
        <f>'[2]Изложницы без бурта'!I880</f>
        <v>0</v>
      </c>
      <c r="AL880" s="56" t="s">
        <v>647</v>
      </c>
      <c r="AM880" s="56">
        <f>'[2]Изложницы без бурта'!K880</f>
        <v>0</v>
      </c>
    </row>
    <row r="881" spans="28:39" x14ac:dyDescent="0.25">
      <c r="AB881" s="253" t="str">
        <f t="shared" si="29"/>
        <v/>
      </c>
      <c r="AC881" s="254">
        <f>IF(COUNTIF(AD$78:AD881,AD881)=1,MAX(AC$78:AC880)+1,"")</f>
        <v>81</v>
      </c>
      <c r="AD881" s="215">
        <f>'[2]Изложницы без бурта'!B881</f>
        <v>292.5</v>
      </c>
      <c r="AE881" s="215">
        <f>'[2]Изложницы без бурта'!C881</f>
        <v>440</v>
      </c>
      <c r="AF881" s="56">
        <f>'[2]Изложницы без бурта'!D881</f>
        <v>375</v>
      </c>
      <c r="AG881" s="56">
        <f>'[2]Изложницы без бурта'!E881</f>
        <v>400</v>
      </c>
      <c r="AH881" s="56" t="str">
        <f>'[2]Изложницы без бурта'!F881</f>
        <v>10.241070 - 5</v>
      </c>
      <c r="AI881" s="56">
        <f>'[2]Изложницы без бурта'!G881</f>
        <v>0</v>
      </c>
      <c r="AJ881" s="56">
        <f>'[2]Изложницы без бурта'!H881</f>
        <v>0</v>
      </c>
      <c r="AK881" s="56">
        <f>'[2]Изложницы без бурта'!I881</f>
        <v>0</v>
      </c>
      <c r="AL881" s="56" t="s">
        <v>647</v>
      </c>
      <c r="AM881" s="56">
        <f>'[2]Изложницы без бурта'!K881</f>
        <v>0</v>
      </c>
    </row>
    <row r="882" spans="28:39" x14ac:dyDescent="0.25">
      <c r="AB882" s="253" t="str">
        <f t="shared" si="29"/>
        <v/>
      </c>
      <c r="AC882" s="254" t="str">
        <f>IF(COUNTIF(AD$78:AD882,AD882)=1,MAX(AC$78:AC881)+1,"")</f>
        <v/>
      </c>
      <c r="AD882" s="215">
        <f>'[2]Изложницы без бурта'!B882</f>
        <v>292.5</v>
      </c>
      <c r="AE882" s="215">
        <f>'[2]Изложницы без бурта'!C882</f>
        <v>495</v>
      </c>
      <c r="AF882" s="56">
        <f>'[2]Изложницы без бурта'!D882</f>
        <v>375</v>
      </c>
      <c r="AG882" s="56">
        <f>'[2]Изложницы без бурта'!E882</f>
        <v>400</v>
      </c>
      <c r="AH882" s="56" t="str">
        <f>'[2]Изложницы без бурта'!F882</f>
        <v>72.23398 - 29</v>
      </c>
      <c r="AI882" s="56">
        <f>'[2]Изложницы без бурта'!G882</f>
        <v>0</v>
      </c>
      <c r="AJ882" s="56">
        <f>'[2]Изложницы без бурта'!H882</f>
        <v>0</v>
      </c>
      <c r="AK882" s="56">
        <f>'[2]Изложницы без бурта'!I882</f>
        <v>0</v>
      </c>
      <c r="AL882" s="56" t="s">
        <v>647</v>
      </c>
      <c r="AM882" s="56">
        <f>'[2]Изложницы без бурта'!K882</f>
        <v>0</v>
      </c>
    </row>
    <row r="883" spans="28:39" x14ac:dyDescent="0.25">
      <c r="AB883" s="253" t="str">
        <f t="shared" si="29"/>
        <v/>
      </c>
      <c r="AC883" s="254">
        <f>IF(COUNTIF(AD$78:AD883,AD883)=1,MAX(AC$78:AC882)+1,"")</f>
        <v>82</v>
      </c>
      <c r="AD883" s="215">
        <f>'[2]Изложницы без бурта'!B883</f>
        <v>295</v>
      </c>
      <c r="AE883" s="215">
        <f>'[2]Изложницы без бурта'!C883</f>
        <v>543</v>
      </c>
      <c r="AF883" s="56">
        <f>'[2]Изложницы без бурта'!D883</f>
        <v>375</v>
      </c>
      <c r="AG883" s="56">
        <f>'[2]Изложницы без бурта'!E883</f>
        <v>400</v>
      </c>
      <c r="AH883" s="56" t="str">
        <f>'[2]Изложницы без бурта'!F883</f>
        <v>10.243375 - 1</v>
      </c>
      <c r="AI883" s="56">
        <f>'[2]Изложницы без бурта'!G883</f>
        <v>7260048</v>
      </c>
      <c r="AJ883" s="56">
        <f>'[2]Изложницы без бурта'!H883</f>
        <v>0</v>
      </c>
      <c r="AK883" s="56">
        <f>'[2]Изложницы без бурта'!I883</f>
        <v>0</v>
      </c>
      <c r="AL883" s="56" t="s">
        <v>647</v>
      </c>
      <c r="AM883" s="56">
        <f>'[2]Изложницы без бурта'!K883</f>
        <v>0</v>
      </c>
    </row>
    <row r="884" spans="28:39" x14ac:dyDescent="0.25">
      <c r="AB884" s="253" t="str">
        <f t="shared" si="29"/>
        <v/>
      </c>
      <c r="AC884" s="254" t="str">
        <f>IF(COUNTIF(AD$78:AD884,AD884)=1,MAX(AC$78:AC883)+1,"")</f>
        <v/>
      </c>
      <c r="AD884" s="215">
        <f>'[2]Изложницы без бурта'!B884</f>
        <v>295</v>
      </c>
      <c r="AE884" s="215">
        <f>'[2]Изложницы без бурта'!C884</f>
        <v>260</v>
      </c>
      <c r="AF884" s="56">
        <f>'[2]Изложницы без бурта'!D884</f>
        <v>360</v>
      </c>
      <c r="AG884" s="56">
        <f>'[2]Изложницы без бурта'!E884</f>
        <v>450</v>
      </c>
      <c r="AH884" s="56" t="str">
        <f>'[2]Изложницы без бурта'!F884</f>
        <v>72.11872 - 30</v>
      </c>
      <c r="AI884" s="56">
        <f>'[2]Изложницы без бурта'!G884</f>
        <v>0</v>
      </c>
      <c r="AJ884" s="56">
        <f>'[2]Изложницы без бурта'!H884</f>
        <v>0</v>
      </c>
      <c r="AK884" s="56">
        <f>'[2]Изложницы без бурта'!I884</f>
        <v>0</v>
      </c>
      <c r="AL884" s="56" t="s">
        <v>648</v>
      </c>
      <c r="AM884" s="56">
        <f>'[2]Изложницы без бурта'!K884</f>
        <v>0</v>
      </c>
    </row>
    <row r="885" spans="28:39" x14ac:dyDescent="0.25">
      <c r="AB885" s="253" t="str">
        <f t="shared" si="29"/>
        <v/>
      </c>
      <c r="AC885" s="254" t="str">
        <f>IF(COUNTIF(AD$78:AD885,AD885)=1,MAX(AC$78:AC884)+1,"")</f>
        <v/>
      </c>
      <c r="AD885" s="215">
        <f>'[2]Изложницы без бурта'!B885</f>
        <v>295</v>
      </c>
      <c r="AE885" s="215">
        <f>'[2]Изложницы без бурта'!C885</f>
        <v>378</v>
      </c>
      <c r="AF885" s="56">
        <f>'[2]Изложницы без бурта'!D885</f>
        <v>360</v>
      </c>
      <c r="AG885" s="56">
        <f>'[2]Изложницы без бурта'!E885</f>
        <v>450</v>
      </c>
      <c r="AH885" s="56" t="str">
        <f>'[2]Изложницы без бурта'!F885</f>
        <v>72.11874 - 30</v>
      </c>
      <c r="AI885" s="56">
        <f>'[2]Изложницы без бурта'!G885</f>
        <v>0</v>
      </c>
      <c r="AJ885" s="56">
        <f>'[2]Изложницы без бурта'!H885</f>
        <v>0</v>
      </c>
      <c r="AK885" s="56">
        <f>'[2]Изложницы без бурта'!I885</f>
        <v>0</v>
      </c>
      <c r="AL885" s="56" t="s">
        <v>648</v>
      </c>
      <c r="AM885" s="56">
        <f>'[2]Изложницы без бурта'!K885</f>
        <v>0</v>
      </c>
    </row>
    <row r="886" spans="28:39" x14ac:dyDescent="0.25">
      <c r="AB886" s="253" t="str">
        <f t="shared" si="29"/>
        <v/>
      </c>
      <c r="AC886" s="254" t="str">
        <f>IF(COUNTIF(AD$78:AD886,AD886)=1,MAX(AC$78:AC885)+1,"")</f>
        <v/>
      </c>
      <c r="AD886" s="215">
        <f>'[2]Изложницы без бурта'!B886</f>
        <v>295</v>
      </c>
      <c r="AE886" s="215">
        <f>'[2]Изложницы без бурта'!C886</f>
        <v>260</v>
      </c>
      <c r="AF886" s="56">
        <f>'[2]Изложницы без бурта'!D886</f>
        <v>360</v>
      </c>
      <c r="AG886" s="56">
        <f>'[2]Изложницы без бурта'!E886</f>
        <v>450</v>
      </c>
      <c r="AH886" s="56" t="str">
        <f>'[2]Изложницы без бурта'!F886</f>
        <v>72.11872 - 30</v>
      </c>
      <c r="AI886" s="56">
        <f>'[2]Изложницы без бурта'!G886</f>
        <v>0</v>
      </c>
      <c r="AJ886" s="56">
        <f>'[2]Изложницы без бурта'!H886</f>
        <v>0</v>
      </c>
      <c r="AK886" s="56">
        <f>'[2]Изложницы без бурта'!I886</f>
        <v>0</v>
      </c>
      <c r="AL886" s="56" t="s">
        <v>649</v>
      </c>
      <c r="AM886" s="56">
        <f>'[2]Изложницы без бурта'!K886</f>
        <v>0</v>
      </c>
    </row>
    <row r="887" spans="28:39" x14ac:dyDescent="0.25">
      <c r="AB887" s="253" t="str">
        <f t="shared" si="29"/>
        <v/>
      </c>
      <c r="AC887" s="254" t="str">
        <f>IF(COUNTIF(AD$78:AD887,AD887)=1,MAX(AC$78:AC886)+1,"")</f>
        <v/>
      </c>
      <c r="AD887" s="215">
        <f>'[2]Изложницы без бурта'!B887</f>
        <v>295</v>
      </c>
      <c r="AE887" s="215">
        <f>'[2]Изложницы без бурта'!C887</f>
        <v>315</v>
      </c>
      <c r="AF887" s="56">
        <f>'[2]Изложницы без бурта'!D887</f>
        <v>360</v>
      </c>
      <c r="AG887" s="56">
        <f>'[2]Изложницы без бурта'!E887</f>
        <v>450</v>
      </c>
      <c r="AH887" s="56" t="str">
        <f>'[2]Изложницы без бурта'!F887</f>
        <v>72.11873 - 30</v>
      </c>
      <c r="AI887" s="56">
        <f>'[2]Изложницы без бурта'!G887</f>
        <v>0</v>
      </c>
      <c r="AJ887" s="56">
        <f>'[2]Изложницы без бурта'!H887</f>
        <v>0</v>
      </c>
      <c r="AK887" s="56">
        <f>'[2]Изложницы без бурта'!I887</f>
        <v>0</v>
      </c>
      <c r="AL887" s="56" t="s">
        <v>649</v>
      </c>
      <c r="AM887" s="56">
        <f>'[2]Изложницы без бурта'!K887</f>
        <v>0</v>
      </c>
    </row>
    <row r="888" spans="28:39" x14ac:dyDescent="0.25">
      <c r="AB888" s="253" t="str">
        <f t="shared" si="29"/>
        <v/>
      </c>
      <c r="AC888" s="254" t="str">
        <f>IF(COUNTIF(AD$78:AD888,AD888)=1,MAX(AC$78:AC887)+1,"")</f>
        <v/>
      </c>
      <c r="AD888" s="215">
        <f>'[2]Изложницы без бурта'!B888</f>
        <v>295</v>
      </c>
      <c r="AE888" s="215">
        <f>'[2]Изложницы без бурта'!C888</f>
        <v>317</v>
      </c>
      <c r="AF888" s="56">
        <f>'[2]Изложницы без бурта'!D888</f>
        <v>375</v>
      </c>
      <c r="AG888" s="56">
        <f>'[2]Изложницы без бурта'!E888</f>
        <v>450</v>
      </c>
      <c r="AH888" s="56" t="str">
        <f>'[2]Изложницы без бурта'!F888</f>
        <v>72.11873 - 30</v>
      </c>
      <c r="AI888" s="56">
        <f>'[2]Изложницы без бурта'!G888</f>
        <v>0</v>
      </c>
      <c r="AJ888" s="56">
        <f>'[2]Изложницы без бурта'!H888</f>
        <v>0</v>
      </c>
      <c r="AK888" s="56">
        <f>'[2]Изложницы без бурта'!I888</f>
        <v>0</v>
      </c>
      <c r="AL888" s="56" t="s">
        <v>649</v>
      </c>
      <c r="AM888" s="56">
        <f>'[2]Изложницы без бурта'!K888</f>
        <v>0</v>
      </c>
    </row>
    <row r="889" spans="28:39" x14ac:dyDescent="0.25">
      <c r="AB889" s="253" t="str">
        <f t="shared" ref="AB889:AB952" si="30">IF(MAX(AC889:AC1966)&lt;ROW(811:811),"",VLOOKUP(ROW(811:811),AC889:AD1966,2))</f>
        <v/>
      </c>
      <c r="AC889" s="254" t="str">
        <f>IF(COUNTIF(AD$78:AD889,AD889)=1,MAX(AC$78:AC888)+1,"")</f>
        <v/>
      </c>
      <c r="AD889" s="215">
        <f>'[2]Изложницы без бурта'!B889</f>
        <v>295</v>
      </c>
      <c r="AE889" s="215">
        <f>'[2]Изложницы без бурта'!C889</f>
        <v>320</v>
      </c>
      <c r="AF889" s="56">
        <f>'[2]Изложницы без бурта'!D889</f>
        <v>360</v>
      </c>
      <c r="AG889" s="56">
        <f>'[2]Изложницы без бурта'!E889</f>
        <v>450</v>
      </c>
      <c r="AH889" s="56" t="str">
        <f>'[2]Изложницы без бурта'!F889</f>
        <v>72.11873 - 30</v>
      </c>
      <c r="AI889" s="56">
        <f>'[2]Изложницы без бурта'!G889</f>
        <v>0</v>
      </c>
      <c r="AJ889" s="56">
        <f>'[2]Изложницы без бурта'!H889</f>
        <v>0</v>
      </c>
      <c r="AK889" s="56">
        <f>'[2]Изложницы без бурта'!I889</f>
        <v>0</v>
      </c>
      <c r="AL889" s="56" t="s">
        <v>649</v>
      </c>
      <c r="AM889" s="56">
        <f>'[2]Изложницы без бурта'!K889</f>
        <v>0</v>
      </c>
    </row>
    <row r="890" spans="28:39" x14ac:dyDescent="0.25">
      <c r="AB890" s="253" t="str">
        <f t="shared" si="30"/>
        <v/>
      </c>
      <c r="AC890" s="254" t="str">
        <f>IF(COUNTIF(AD$78:AD890,AD890)=1,MAX(AC$78:AC889)+1,"")</f>
        <v/>
      </c>
      <c r="AD890" s="215">
        <f>'[2]Изложницы без бурта'!B890</f>
        <v>295</v>
      </c>
      <c r="AE890" s="215">
        <f>'[2]Изложницы без бурта'!C890</f>
        <v>317</v>
      </c>
      <c r="AF890" s="56">
        <f>'[2]Изложницы без бурта'!D890</f>
        <v>360</v>
      </c>
      <c r="AG890" s="56">
        <f>'[2]Изложницы без бурта'!E890</f>
        <v>450</v>
      </c>
      <c r="AH890" s="56" t="str">
        <f>'[2]Изложницы без бурта'!F890</f>
        <v>72.11873 - 30</v>
      </c>
      <c r="AI890" s="56">
        <f>'[2]Изложницы без бурта'!G890</f>
        <v>0</v>
      </c>
      <c r="AJ890" s="56">
        <f>'[2]Изложницы без бурта'!H890</f>
        <v>0</v>
      </c>
      <c r="AK890" s="56">
        <f>'[2]Изложницы без бурта'!I890</f>
        <v>0</v>
      </c>
      <c r="AL890" s="56" t="s">
        <v>649</v>
      </c>
      <c r="AM890" s="56">
        <f>'[2]Изложницы без бурта'!K890</f>
        <v>0</v>
      </c>
    </row>
    <row r="891" spans="28:39" x14ac:dyDescent="0.25">
      <c r="AB891" s="253" t="str">
        <f t="shared" si="30"/>
        <v/>
      </c>
      <c r="AC891" s="254" t="str">
        <f>IF(COUNTIF(AD$78:AD891,AD891)=1,MAX(AC$78:AC890)+1,"")</f>
        <v/>
      </c>
      <c r="AD891" s="215">
        <f>'[2]Изложницы без бурта'!B891</f>
        <v>295</v>
      </c>
      <c r="AE891" s="215">
        <f>'[2]Изложницы без бурта'!C891</f>
        <v>258</v>
      </c>
      <c r="AF891" s="56">
        <f>'[2]Изложницы без бурта'!D891</f>
        <v>360</v>
      </c>
      <c r="AG891" s="56">
        <f>'[2]Изложницы без бурта'!E891</f>
        <v>450</v>
      </c>
      <c r="AH891" s="56" t="str">
        <f>'[2]Изложницы без бурта'!F891</f>
        <v>72.11872 - 30</v>
      </c>
      <c r="AI891" s="56">
        <f>'[2]Изложницы без бурта'!G891</f>
        <v>0</v>
      </c>
      <c r="AJ891" s="56">
        <f>'[2]Изложницы без бурта'!H891</f>
        <v>0</v>
      </c>
      <c r="AK891" s="56">
        <f>'[2]Изложницы без бурта'!I891</f>
        <v>0</v>
      </c>
      <c r="AL891" s="56" t="s">
        <v>649</v>
      </c>
      <c r="AM891" s="56">
        <f>'[2]Изложницы без бурта'!K891</f>
        <v>0</v>
      </c>
    </row>
    <row r="892" spans="28:39" x14ac:dyDescent="0.25">
      <c r="AB892" s="253" t="str">
        <f t="shared" si="30"/>
        <v/>
      </c>
      <c r="AC892" s="254">
        <f>IF(COUNTIF(AD$78:AD892,AD892)=1,MAX(AC$78:AC891)+1,"")</f>
        <v>83</v>
      </c>
      <c r="AD892" s="215">
        <f>'[2]Изложницы без бурта'!B892</f>
        <v>297.5</v>
      </c>
      <c r="AE892" s="215">
        <f>'[2]Изложницы без бурта'!C892</f>
        <v>260</v>
      </c>
      <c r="AF892" s="56">
        <f>'[2]Изложницы без бурта'!D892</f>
        <v>375</v>
      </c>
      <c r="AG892" s="56">
        <f>'[2]Изложницы без бурта'!E892</f>
        <v>450</v>
      </c>
      <c r="AH892" s="56" t="str">
        <f>'[2]Изложницы без бурта'!F892</f>
        <v>72.11872 - 31</v>
      </c>
      <c r="AI892" s="56">
        <f>'[2]Изложницы без бурта'!G892</f>
        <v>0</v>
      </c>
      <c r="AJ892" s="56">
        <f>'[2]Изложницы без бурта'!H892</f>
        <v>0</v>
      </c>
      <c r="AK892" s="56">
        <f>'[2]Изложницы без бурта'!I892</f>
        <v>0</v>
      </c>
      <c r="AL892" s="56" t="s">
        <v>649</v>
      </c>
      <c r="AM892" s="56">
        <f>'[2]Изложницы без бурта'!K892</f>
        <v>0</v>
      </c>
    </row>
    <row r="893" spans="28:39" x14ac:dyDescent="0.25">
      <c r="AB893" s="253" t="str">
        <f t="shared" si="30"/>
        <v/>
      </c>
      <c r="AC893" s="254" t="str">
        <f>IF(COUNTIF(AD$78:AD893,AD893)=1,MAX(AC$78:AC892)+1,"")</f>
        <v/>
      </c>
      <c r="AD893" s="215">
        <f>'[2]Изложницы без бурта'!B893</f>
        <v>297.5</v>
      </c>
      <c r="AE893" s="215">
        <f>'[2]Изложницы без бурта'!C893</f>
        <v>260</v>
      </c>
      <c r="AF893" s="56">
        <f>'[2]Изложницы без бурта'!D893</f>
        <v>375</v>
      </c>
      <c r="AG893" s="56">
        <f>'[2]Изложницы без бурта'!E893</f>
        <v>450</v>
      </c>
      <c r="AH893" s="56" t="str">
        <f>'[2]Изложницы без бурта'!F893</f>
        <v>72.11872 - 31</v>
      </c>
      <c r="AI893" s="56">
        <f>'[2]Изложницы без бурта'!G893</f>
        <v>0</v>
      </c>
      <c r="AJ893" s="56">
        <f>'[2]Изложницы без бурта'!H893</f>
        <v>0</v>
      </c>
      <c r="AK893" s="56">
        <f>'[2]Изложницы без бурта'!I893</f>
        <v>0</v>
      </c>
      <c r="AL893" s="56" t="s">
        <v>649</v>
      </c>
      <c r="AM893" s="56">
        <f>'[2]Изложницы без бурта'!K893</f>
        <v>0</v>
      </c>
    </row>
    <row r="894" spans="28:39" x14ac:dyDescent="0.25">
      <c r="AB894" s="253" t="str">
        <f t="shared" si="30"/>
        <v/>
      </c>
      <c r="AC894" s="254" t="str">
        <f>IF(COUNTIF(AD$78:AD894,AD894)=1,MAX(AC$78:AC893)+1,"")</f>
        <v/>
      </c>
      <c r="AD894" s="215">
        <f>'[2]Изложницы без бурта'!B894</f>
        <v>297.5</v>
      </c>
      <c r="AE894" s="215">
        <f>'[2]Изложницы без бурта'!C894</f>
        <v>253</v>
      </c>
      <c r="AF894" s="56">
        <f>'[2]Изложницы без бурта'!D894</f>
        <v>360</v>
      </c>
      <c r="AG894" s="56">
        <f>'[2]Изложницы без бурта'!E894</f>
        <v>450</v>
      </c>
      <c r="AH894" s="56" t="str">
        <f>'[2]Изложницы без бурта'!F894</f>
        <v>72.11872 - 31</v>
      </c>
      <c r="AI894" s="56">
        <f>'[2]Изложницы без бурта'!G894</f>
        <v>0</v>
      </c>
      <c r="AJ894" s="56">
        <f>'[2]Изложницы без бурта'!H894</f>
        <v>0</v>
      </c>
      <c r="AK894" s="56">
        <f>'[2]Изложницы без бурта'!I894</f>
        <v>0</v>
      </c>
      <c r="AL894" s="56" t="s">
        <v>649</v>
      </c>
      <c r="AM894" s="56">
        <f>'[2]Изложницы без бурта'!K894</f>
        <v>0</v>
      </c>
    </row>
    <row r="895" spans="28:39" x14ac:dyDescent="0.25">
      <c r="AB895" s="253" t="str">
        <f t="shared" si="30"/>
        <v/>
      </c>
      <c r="AC895" s="254" t="str">
        <f>IF(COUNTIF(AD$78:AD895,AD895)=1,MAX(AC$78:AC894)+1,"")</f>
        <v/>
      </c>
      <c r="AD895" s="215">
        <f>'[2]Изложницы без бурта'!B895</f>
        <v>297.5</v>
      </c>
      <c r="AE895" s="215">
        <f>'[2]Изложницы без бурта'!C895</f>
        <v>438</v>
      </c>
      <c r="AF895" s="56">
        <f>'[2]Изложницы без бурта'!D895</f>
        <v>375</v>
      </c>
      <c r="AG895" s="56">
        <f>'[2]Изложницы без бурта'!E895</f>
        <v>400</v>
      </c>
      <c r="AH895" s="56" t="str">
        <f>'[2]Изложницы без бурта'!F895</f>
        <v>10.241070 - 7</v>
      </c>
      <c r="AI895" s="56">
        <f>'[2]Изложницы без бурта'!G895</f>
        <v>0</v>
      </c>
      <c r="AJ895" s="56">
        <f>'[2]Изложницы без бурта'!H895</f>
        <v>0</v>
      </c>
      <c r="AK895" s="56">
        <f>'[2]Изложницы без бурта'!I895</f>
        <v>0</v>
      </c>
      <c r="AL895" s="56" t="s">
        <v>650</v>
      </c>
      <c r="AM895" s="56">
        <f>'[2]Изложницы без бурта'!K895</f>
        <v>0</v>
      </c>
    </row>
    <row r="896" spans="28:39" x14ac:dyDescent="0.25">
      <c r="AB896" s="253" t="str">
        <f t="shared" si="30"/>
        <v/>
      </c>
      <c r="AC896" s="254">
        <f>IF(COUNTIF(AD$78:AD896,AD896)=1,MAX(AC$78:AC895)+1,"")</f>
        <v>84</v>
      </c>
      <c r="AD896" s="215">
        <f>'[2]Изложницы без бурта'!B896</f>
        <v>300</v>
      </c>
      <c r="AE896" s="215">
        <f>'[2]Изложницы без бурта'!C896</f>
        <v>440</v>
      </c>
      <c r="AF896" s="56">
        <f>'[2]Изложницы без бурта'!D896</f>
        <v>375</v>
      </c>
      <c r="AG896" s="56">
        <f>'[2]Изложницы без бурта'!E896</f>
        <v>400</v>
      </c>
      <c r="AH896" s="56" t="str">
        <f>'[2]Изложницы без бурта'!F896</f>
        <v>10.241070 - 8</v>
      </c>
      <c r="AI896" s="56">
        <f>'[2]Изложницы без бурта'!G896</f>
        <v>7260049</v>
      </c>
      <c r="AJ896" s="56">
        <f>'[2]Изложницы без бурта'!H896</f>
        <v>0</v>
      </c>
      <c r="AK896" s="56">
        <f>'[2]Изложницы без бурта'!I896</f>
        <v>0</v>
      </c>
      <c r="AL896" s="56" t="s">
        <v>650</v>
      </c>
      <c r="AM896" s="56">
        <f>'[2]Изложницы без бурта'!K896</f>
        <v>0</v>
      </c>
    </row>
    <row r="897" spans="28:39" x14ac:dyDescent="0.25">
      <c r="AB897" s="253" t="str">
        <f t="shared" si="30"/>
        <v/>
      </c>
      <c r="AC897" s="254" t="str">
        <f>IF(COUNTIF(AD$78:AD897,AD897)=1,MAX(AC$78:AC896)+1,"")</f>
        <v/>
      </c>
      <c r="AD897" s="215">
        <f>'[2]Изложницы без бурта'!B897</f>
        <v>300</v>
      </c>
      <c r="AE897" s="215">
        <f>'[2]Изложницы без бурта'!C897</f>
        <v>470</v>
      </c>
      <c r="AF897" s="56">
        <f>'[2]Изложницы без бурта'!D897</f>
        <v>400</v>
      </c>
      <c r="AG897" s="56">
        <f>'[2]Изложницы без бурта'!E897</f>
        <v>400</v>
      </c>
      <c r="AH897" s="56" t="str">
        <f>'[2]Изложницы без бурта'!F897</f>
        <v>72.48005 - 1</v>
      </c>
      <c r="AI897" s="56">
        <f>'[2]Изложницы без бурта'!G897</f>
        <v>7260049</v>
      </c>
      <c r="AJ897" s="56">
        <f>'[2]Изложницы без бурта'!H897</f>
        <v>0</v>
      </c>
      <c r="AK897" s="56">
        <f>'[2]Изложницы без бурта'!I897</f>
        <v>0</v>
      </c>
      <c r="AL897" s="56" t="s">
        <v>650</v>
      </c>
      <c r="AM897" s="56">
        <f>'[2]Изложницы без бурта'!K897</f>
        <v>0</v>
      </c>
    </row>
    <row r="898" spans="28:39" x14ac:dyDescent="0.25">
      <c r="AB898" s="253" t="str">
        <f t="shared" si="30"/>
        <v/>
      </c>
      <c r="AC898" s="254" t="str">
        <f>IF(COUNTIF(AD$78:AD898,AD898)=1,MAX(AC$78:AC897)+1,"")</f>
        <v/>
      </c>
      <c r="AD898" s="215">
        <f>'[2]Изложницы без бурта'!B898</f>
        <v>300</v>
      </c>
      <c r="AE898" s="215">
        <f>'[2]Изложницы без бурта'!C898</f>
        <v>318</v>
      </c>
      <c r="AF898" s="56">
        <f>'[2]Изложницы без бурта'!D898</f>
        <v>375</v>
      </c>
      <c r="AG898" s="56">
        <f>'[2]Изложницы без бурта'!E898</f>
        <v>450</v>
      </c>
      <c r="AH898" s="56" t="str">
        <f>'[2]Изложницы без бурта'!F898</f>
        <v>72.11873 - 32</v>
      </c>
      <c r="AI898" s="56">
        <f>'[2]Изложницы без бурта'!G898</f>
        <v>0</v>
      </c>
      <c r="AJ898" s="56">
        <f>'[2]Изложницы без бурта'!H898</f>
        <v>0</v>
      </c>
      <c r="AK898" s="56">
        <f>'[2]Изложницы без бурта'!I898</f>
        <v>0</v>
      </c>
      <c r="AL898" s="56" t="s">
        <v>650</v>
      </c>
      <c r="AM898" s="56">
        <f>'[2]Изложницы без бурта'!K898</f>
        <v>0</v>
      </c>
    </row>
    <row r="899" spans="28:39" x14ac:dyDescent="0.25">
      <c r="AB899" s="253" t="str">
        <f t="shared" si="30"/>
        <v/>
      </c>
      <c r="AC899" s="254" t="str">
        <f>IF(COUNTIF(AD$78:AD899,AD899)=1,MAX(AC$78:AC898)+1,"")</f>
        <v/>
      </c>
      <c r="AD899" s="215">
        <f>'[2]Изложницы без бурта'!B899</f>
        <v>300</v>
      </c>
      <c r="AE899" s="215">
        <f>'[2]Изложницы без бурта'!C899</f>
        <v>320</v>
      </c>
      <c r="AF899" s="56">
        <f>'[2]Изложницы без бурта'!D899</f>
        <v>360</v>
      </c>
      <c r="AG899" s="56">
        <f>'[2]Изложницы без бурта'!E899</f>
        <v>450</v>
      </c>
      <c r="AH899" s="56" t="str">
        <f>'[2]Изложницы без бурта'!F899</f>
        <v>72.11873 - 32</v>
      </c>
      <c r="AI899" s="56">
        <f>'[2]Изложницы без бурта'!G899</f>
        <v>0</v>
      </c>
      <c r="AJ899" s="56">
        <f>'[2]Изложницы без бурта'!H899</f>
        <v>0</v>
      </c>
      <c r="AK899" s="56">
        <f>'[2]Изложницы без бурта'!I899</f>
        <v>0</v>
      </c>
      <c r="AL899" s="56" t="s">
        <v>651</v>
      </c>
      <c r="AM899" s="56">
        <f>'[2]Изложницы без бурта'!K899</f>
        <v>0</v>
      </c>
    </row>
    <row r="900" spans="28:39" x14ac:dyDescent="0.25">
      <c r="AB900" s="253" t="str">
        <f t="shared" si="30"/>
        <v/>
      </c>
      <c r="AC900" s="254" t="str">
        <f>IF(COUNTIF(AD$78:AD900,AD900)=1,MAX(AC$78:AC899)+1,"")</f>
        <v/>
      </c>
      <c r="AD900" s="215">
        <f>'[2]Изложницы без бурта'!B900</f>
        <v>300</v>
      </c>
      <c r="AE900" s="215">
        <f>'[2]Изложницы без бурта'!C900</f>
        <v>373</v>
      </c>
      <c r="AF900" s="56">
        <f>'[2]Изложницы без бурта'!D900</f>
        <v>360</v>
      </c>
      <c r="AG900" s="56">
        <f>'[2]Изложницы без бурта'!E900</f>
        <v>450</v>
      </c>
      <c r="AH900" s="56" t="str">
        <f>'[2]Изложницы без бурта'!F900</f>
        <v>72.11874 - 32</v>
      </c>
      <c r="AI900" s="56">
        <f>'[2]Изложницы без бурта'!G900</f>
        <v>0</v>
      </c>
      <c r="AJ900" s="56">
        <f>'[2]Изложницы без бурта'!H900</f>
        <v>0</v>
      </c>
      <c r="AK900" s="56">
        <f>'[2]Изложницы без бурта'!I900</f>
        <v>0</v>
      </c>
      <c r="AL900" s="56" t="s">
        <v>651</v>
      </c>
      <c r="AM900" s="56">
        <f>'[2]Изложницы без бурта'!K900</f>
        <v>0</v>
      </c>
    </row>
    <row r="901" spans="28:39" x14ac:dyDescent="0.25">
      <c r="AB901" s="253" t="str">
        <f t="shared" si="30"/>
        <v/>
      </c>
      <c r="AC901" s="254" t="str">
        <f>IF(COUNTIF(AD$78:AD901,AD901)=1,MAX(AC$78:AC900)+1,"")</f>
        <v/>
      </c>
      <c r="AD901" s="215">
        <f>'[2]Изложницы без бурта'!B901</f>
        <v>300</v>
      </c>
      <c r="AE901" s="215">
        <f>'[2]Изложницы без бурта'!C901</f>
        <v>378</v>
      </c>
      <c r="AF901" s="56">
        <f>'[2]Изложницы без бурта'!D901</f>
        <v>360</v>
      </c>
      <c r="AG901" s="56">
        <f>'[2]Изложницы без бурта'!E901</f>
        <v>450</v>
      </c>
      <c r="AH901" s="56" t="str">
        <f>'[2]Изложницы без бурта'!F901</f>
        <v>72.11874 - 32</v>
      </c>
      <c r="AI901" s="56">
        <f>'[2]Изложницы без бурта'!G901</f>
        <v>0</v>
      </c>
      <c r="AJ901" s="56">
        <f>'[2]Изложницы без бурта'!H901</f>
        <v>0</v>
      </c>
      <c r="AK901" s="56">
        <f>'[2]Изложницы без бурта'!I901</f>
        <v>0</v>
      </c>
      <c r="AL901" s="56" t="s">
        <v>651</v>
      </c>
      <c r="AM901" s="56">
        <f>'[2]Изложницы без бурта'!K901</f>
        <v>0</v>
      </c>
    </row>
    <row r="902" spans="28:39" x14ac:dyDescent="0.25">
      <c r="AB902" s="253" t="str">
        <f t="shared" si="30"/>
        <v/>
      </c>
      <c r="AC902" s="254" t="str">
        <f>IF(COUNTIF(AD$78:AD902,AD902)=1,MAX(AC$78:AC901)+1,"")</f>
        <v/>
      </c>
      <c r="AD902" s="215">
        <f>'[2]Изложницы без бурта'!B902</f>
        <v>300</v>
      </c>
      <c r="AE902" s="215">
        <f>'[2]Изложницы без бурта'!C902</f>
        <v>310</v>
      </c>
      <c r="AF902" s="56">
        <f>'[2]Изложницы без бурта'!D902</f>
        <v>360</v>
      </c>
      <c r="AG902" s="56">
        <f>'[2]Изложницы без бурта'!E902</f>
        <v>450</v>
      </c>
      <c r="AH902" s="56" t="str">
        <f>'[2]Изложницы без бурта'!F902</f>
        <v>72.11873 - 32</v>
      </c>
      <c r="AI902" s="56">
        <f>'[2]Изложницы без бурта'!G902</f>
        <v>0</v>
      </c>
      <c r="AJ902" s="56">
        <f>'[2]Изложницы без бурта'!H902</f>
        <v>0</v>
      </c>
      <c r="AK902" s="56">
        <f>'[2]Изложницы без бурта'!I902</f>
        <v>0</v>
      </c>
      <c r="AL902" s="56" t="s">
        <v>651</v>
      </c>
      <c r="AM902" s="56">
        <f>'[2]Изложницы без бурта'!K902</f>
        <v>0</v>
      </c>
    </row>
    <row r="903" spans="28:39" x14ac:dyDescent="0.25">
      <c r="AB903" s="253" t="str">
        <f t="shared" si="30"/>
        <v/>
      </c>
      <c r="AC903" s="254" t="str">
        <f>IF(COUNTIF(AD$78:AD903,AD903)=1,MAX(AC$78:AC902)+1,"")</f>
        <v/>
      </c>
      <c r="AD903" s="215">
        <f>'[2]Изложницы без бурта'!B903</f>
        <v>300</v>
      </c>
      <c r="AE903" s="215">
        <f>'[2]Изложницы без бурта'!C903</f>
        <v>435</v>
      </c>
      <c r="AF903" s="56">
        <f>'[2]Изложницы без бурта'!D903</f>
        <v>360</v>
      </c>
      <c r="AG903" s="56">
        <f>'[2]Изложницы без бурта'!E903</f>
        <v>400</v>
      </c>
      <c r="AH903" s="56" t="str">
        <f>'[2]Изложницы без бурта'!F903</f>
        <v>10.241070 - 8</v>
      </c>
      <c r="AI903" s="56">
        <f>'[2]Изложницы без бурта'!G903</f>
        <v>7260050</v>
      </c>
      <c r="AJ903" s="56">
        <f>'[2]Изложницы без бурта'!H903</f>
        <v>0</v>
      </c>
      <c r="AK903" s="56">
        <f>'[2]Изложницы без бурта'!I903</f>
        <v>0</v>
      </c>
      <c r="AL903" s="56" t="s">
        <v>651</v>
      </c>
      <c r="AM903" s="56">
        <f>'[2]Изложницы без бурта'!K903</f>
        <v>0</v>
      </c>
    </row>
    <row r="904" spans="28:39" x14ac:dyDescent="0.25">
      <c r="AB904" s="253" t="str">
        <f t="shared" si="30"/>
        <v/>
      </c>
      <c r="AC904" s="254" t="str">
        <f>IF(COUNTIF(AD$78:AD904,AD904)=1,MAX(AC$78:AC903)+1,"")</f>
        <v/>
      </c>
      <c r="AD904" s="215">
        <f>'[2]Изложницы без бурта'!B904</f>
        <v>300</v>
      </c>
      <c r="AE904" s="215">
        <f>'[2]Изложницы без бурта'!C904</f>
        <v>320</v>
      </c>
      <c r="AF904" s="56">
        <f>'[2]Изложницы без бурта'!D904</f>
        <v>360</v>
      </c>
      <c r="AG904" s="56">
        <f>'[2]Изложницы без бурта'!E904</f>
        <v>450</v>
      </c>
      <c r="AH904" s="56" t="str">
        <f>'[2]Изложницы без бурта'!F904</f>
        <v>72.11873 - 32</v>
      </c>
      <c r="AI904" s="56">
        <f>'[2]Изложницы без бурта'!G904</f>
        <v>0</v>
      </c>
      <c r="AJ904" s="56">
        <f>'[2]Изложницы без бурта'!H904</f>
        <v>0</v>
      </c>
      <c r="AK904" s="56">
        <f>'[2]Изложницы без бурта'!I904</f>
        <v>0</v>
      </c>
      <c r="AL904" s="56" t="s">
        <v>651</v>
      </c>
      <c r="AM904" s="56">
        <f>'[2]Изложницы без бурта'!K904</f>
        <v>0</v>
      </c>
    </row>
    <row r="905" spans="28:39" x14ac:dyDescent="0.25">
      <c r="AB905" s="253" t="str">
        <f t="shared" si="30"/>
        <v/>
      </c>
      <c r="AC905" s="254" t="str">
        <f>IF(COUNTIF(AD$78:AD905,AD905)=1,MAX(AC$78:AC904)+1,"")</f>
        <v/>
      </c>
      <c r="AD905" s="215">
        <f>'[2]Изложницы без бурта'!B905</f>
        <v>300</v>
      </c>
      <c r="AE905" s="215">
        <f>'[2]Изложницы без бурта'!C905</f>
        <v>320</v>
      </c>
      <c r="AF905" s="56">
        <f>'[2]Изложницы без бурта'!D905</f>
        <v>360</v>
      </c>
      <c r="AG905" s="56">
        <f>'[2]Изложницы без бурта'!E905</f>
        <v>450</v>
      </c>
      <c r="AH905" s="56" t="str">
        <f>'[2]Изложницы без бурта'!F905</f>
        <v>72.11873 - 32</v>
      </c>
      <c r="AI905" s="56">
        <f>'[2]Изложницы без бурта'!G905</f>
        <v>0</v>
      </c>
      <c r="AJ905" s="56">
        <f>'[2]Изложницы без бурта'!H905</f>
        <v>0</v>
      </c>
      <c r="AK905" s="56">
        <f>'[2]Изложницы без бурта'!I905</f>
        <v>0</v>
      </c>
      <c r="AL905" s="56" t="s">
        <v>651</v>
      </c>
      <c r="AM905" s="56">
        <f>'[2]Изложницы без бурта'!K905</f>
        <v>0</v>
      </c>
    </row>
    <row r="906" spans="28:39" x14ac:dyDescent="0.25">
      <c r="AB906" s="253" t="str">
        <f t="shared" si="30"/>
        <v/>
      </c>
      <c r="AC906" s="254" t="str">
        <f>IF(COUNTIF(AD$78:AD906,AD906)=1,MAX(AC$78:AC905)+1,"")</f>
        <v/>
      </c>
      <c r="AD906" s="215">
        <f>'[2]Изложницы без бурта'!B906</f>
        <v>300</v>
      </c>
      <c r="AE906" s="215">
        <f>'[2]Изложницы без бурта'!C906</f>
        <v>260</v>
      </c>
      <c r="AF906" s="56">
        <f>'[2]Изложницы без бурта'!D906</f>
        <v>360</v>
      </c>
      <c r="AG906" s="56">
        <f>'[2]Изложницы без бурта'!E906</f>
        <v>450</v>
      </c>
      <c r="AH906" s="56" t="str">
        <f>'[2]Изложницы без бурта'!F906</f>
        <v>72.11872 - 32</v>
      </c>
      <c r="AI906" s="56">
        <f>'[2]Изложницы без бурта'!G906</f>
        <v>0</v>
      </c>
      <c r="AJ906" s="56">
        <f>'[2]Изложницы без бурта'!H906</f>
        <v>0</v>
      </c>
      <c r="AK906" s="56">
        <f>'[2]Изложницы без бурта'!I906</f>
        <v>0</v>
      </c>
      <c r="AL906" s="56" t="s">
        <v>651</v>
      </c>
      <c r="AM906" s="56">
        <f>'[2]Изложницы без бурта'!K906</f>
        <v>0</v>
      </c>
    </row>
    <row r="907" spans="28:39" x14ac:dyDescent="0.25">
      <c r="AB907" s="253" t="str">
        <f t="shared" si="30"/>
        <v/>
      </c>
      <c r="AC907" s="254" t="str">
        <f>IF(COUNTIF(AD$78:AD907,AD907)=1,MAX(AC$78:AC906)+1,"")</f>
        <v/>
      </c>
      <c r="AD907" s="215">
        <f>'[2]Изложницы без бурта'!B907</f>
        <v>300</v>
      </c>
      <c r="AE907" s="215">
        <f>'[2]Изложницы без бурта'!C907</f>
        <v>260</v>
      </c>
      <c r="AF907" s="56">
        <f>'[2]Изложницы без бурта'!D907</f>
        <v>360</v>
      </c>
      <c r="AG907" s="56">
        <f>'[2]Изложницы без бурта'!E907</f>
        <v>450</v>
      </c>
      <c r="AH907" s="56" t="str">
        <f>'[2]Изложницы без бурта'!F907</f>
        <v>72.11872 - 32</v>
      </c>
      <c r="AI907" s="56">
        <f>'[2]Изложницы без бурта'!G907</f>
        <v>0</v>
      </c>
      <c r="AJ907" s="56">
        <f>'[2]Изложницы без бурта'!H907</f>
        <v>0</v>
      </c>
      <c r="AK907" s="56">
        <f>'[2]Изложницы без бурта'!I907</f>
        <v>0</v>
      </c>
      <c r="AL907" s="56" t="s">
        <v>651</v>
      </c>
      <c r="AM907" s="56">
        <f>'[2]Изложницы без бурта'!K907</f>
        <v>0</v>
      </c>
    </row>
    <row r="908" spans="28:39" x14ac:dyDescent="0.25">
      <c r="AB908" s="253" t="str">
        <f t="shared" si="30"/>
        <v/>
      </c>
      <c r="AC908" s="254" t="str">
        <f>IF(COUNTIF(AD$78:AD908,AD908)=1,MAX(AC$78:AC907)+1,"")</f>
        <v/>
      </c>
      <c r="AD908" s="215">
        <f>'[2]Изложницы без бурта'!B908</f>
        <v>300</v>
      </c>
      <c r="AE908" s="215">
        <f>'[2]Изложницы без бурта'!C908</f>
        <v>260</v>
      </c>
      <c r="AF908" s="56">
        <f>'[2]Изложницы без бурта'!D908</f>
        <v>375</v>
      </c>
      <c r="AG908" s="56">
        <f>'[2]Изложницы без бурта'!E908</f>
        <v>450</v>
      </c>
      <c r="AH908" s="56" t="str">
        <f>'[2]Изложницы без бурта'!F908</f>
        <v>72.11872 - 32</v>
      </c>
      <c r="AI908" s="56">
        <f>'[2]Изложницы без бурта'!G908</f>
        <v>0</v>
      </c>
      <c r="AJ908" s="56">
        <f>'[2]Изложницы без бурта'!H908</f>
        <v>0</v>
      </c>
      <c r="AK908" s="56">
        <f>'[2]Изложницы без бурта'!I908</f>
        <v>0</v>
      </c>
      <c r="AL908" s="56" t="s">
        <v>651</v>
      </c>
      <c r="AM908" s="56">
        <f>'[2]Изложницы без бурта'!K908</f>
        <v>0</v>
      </c>
    </row>
    <row r="909" spans="28:39" x14ac:dyDescent="0.25">
      <c r="AB909" s="253" t="str">
        <f t="shared" si="30"/>
        <v/>
      </c>
      <c r="AC909" s="254">
        <f>IF(COUNTIF(AD$78:AD909,AD909)=1,MAX(AC$78:AC908)+1,"")</f>
        <v>85</v>
      </c>
      <c r="AD909" s="215">
        <f>'[2]Изложницы без бурта'!B909</f>
        <v>302.5</v>
      </c>
      <c r="AE909" s="215">
        <f>'[2]Изложницы без бурта'!C909</f>
        <v>465</v>
      </c>
      <c r="AF909" s="56">
        <f>'[2]Изложницы без бурта'!D909</f>
        <v>400</v>
      </c>
      <c r="AG909" s="56">
        <f>'[2]Изложницы без бурта'!E909</f>
        <v>400</v>
      </c>
      <c r="AH909" s="56" t="str">
        <f>'[2]Изложницы без бурта'!F909</f>
        <v>72.48005 - 2</v>
      </c>
      <c r="AI909" s="56">
        <f>'[2]Изложницы без бурта'!G909</f>
        <v>0</v>
      </c>
      <c r="AJ909" s="56">
        <f>'[2]Изложницы без бурта'!H909</f>
        <v>0</v>
      </c>
      <c r="AK909" s="56">
        <f>'[2]Изложницы без бурта'!I909</f>
        <v>0</v>
      </c>
      <c r="AL909" s="56" t="s">
        <v>659</v>
      </c>
      <c r="AM909" s="56">
        <f>'[2]Изложницы без бурта'!K909</f>
        <v>0</v>
      </c>
    </row>
    <row r="910" spans="28:39" x14ac:dyDescent="0.25">
      <c r="AB910" s="253" t="str">
        <f t="shared" si="30"/>
        <v/>
      </c>
      <c r="AC910" s="254" t="str">
        <f>IF(COUNTIF(AD$78:AD910,AD910)=1,MAX(AC$78:AC909)+1,"")</f>
        <v/>
      </c>
      <c r="AD910" s="215">
        <f>'[2]Изложницы без бурта'!B910</f>
        <v>302.5</v>
      </c>
      <c r="AE910" s="215">
        <f>'[2]Изложницы без бурта'!C910</f>
        <v>470</v>
      </c>
      <c r="AF910" s="56">
        <f>'[2]Изложницы без бурта'!D910</f>
        <v>400</v>
      </c>
      <c r="AG910" s="56">
        <f>'[2]Изложницы без бурта'!E910</f>
        <v>400</v>
      </c>
      <c r="AH910" s="56" t="str">
        <f>'[2]Изложницы без бурта'!F910</f>
        <v>72.48005 - 2</v>
      </c>
      <c r="AI910" s="56">
        <f>'[2]Изложницы без бурта'!G910</f>
        <v>0</v>
      </c>
      <c r="AJ910" s="56">
        <f>'[2]Изложницы без бурта'!H910</f>
        <v>0</v>
      </c>
      <c r="AK910" s="56">
        <f>'[2]Изложницы без бурта'!I910</f>
        <v>0</v>
      </c>
      <c r="AL910" s="56" t="s">
        <v>659</v>
      </c>
      <c r="AM910" s="56">
        <f>'[2]Изложницы без бурта'!K910</f>
        <v>0</v>
      </c>
    </row>
    <row r="911" spans="28:39" x14ac:dyDescent="0.25">
      <c r="AB911" s="253" t="str">
        <f t="shared" si="30"/>
        <v/>
      </c>
      <c r="AC911" s="254" t="str">
        <f>IF(COUNTIF(AD$78:AD911,AD911)=1,MAX(AC$78:AC910)+1,"")</f>
        <v/>
      </c>
      <c r="AD911" s="215">
        <f>'[2]Изложницы без бурта'!B911</f>
        <v>302.5</v>
      </c>
      <c r="AE911" s="215">
        <f>'[2]Изложницы без бурта'!C911</f>
        <v>470</v>
      </c>
      <c r="AF911" s="56">
        <f>'[2]Изложницы без бурта'!D911</f>
        <v>400</v>
      </c>
      <c r="AG911" s="56">
        <f>'[2]Изложницы без бурта'!E911</f>
        <v>400</v>
      </c>
      <c r="AH911" s="56" t="str">
        <f>'[2]Изложницы без бурта'!F911</f>
        <v>72.48005 - 2</v>
      </c>
      <c r="AI911" s="56">
        <f>'[2]Изложницы без бурта'!G911</f>
        <v>0</v>
      </c>
      <c r="AJ911" s="56">
        <f>'[2]Изложницы без бурта'!H911</f>
        <v>0</v>
      </c>
      <c r="AK911" s="56">
        <f>'[2]Изложницы без бурта'!I911</f>
        <v>0</v>
      </c>
      <c r="AL911" s="56" t="s">
        <v>659</v>
      </c>
      <c r="AM911" s="56">
        <f>'[2]Изложницы без бурта'!K911</f>
        <v>0</v>
      </c>
    </row>
    <row r="912" spans="28:39" x14ac:dyDescent="0.25">
      <c r="AB912" s="253" t="str">
        <f t="shared" si="30"/>
        <v/>
      </c>
      <c r="AC912" s="254">
        <f>IF(COUNTIF(AD$78:AD912,AD912)=1,MAX(AC$78:AC911)+1,"")</f>
        <v>86</v>
      </c>
      <c r="AD912" s="215">
        <f>'[2]Изложницы без бурта'!B912</f>
        <v>305</v>
      </c>
      <c r="AE912" s="215">
        <f>'[2]Изложницы без бурта'!C912</f>
        <v>372</v>
      </c>
      <c r="AF912" s="56">
        <f>'[2]Изложницы без бурта'!D912</f>
        <v>375</v>
      </c>
      <c r="AG912" s="56">
        <f>'[2]Изложницы без бурта'!E912</f>
        <v>450</v>
      </c>
      <c r="AH912" s="56" t="str">
        <f>'[2]Изложницы без бурта'!F912</f>
        <v>24.271248 - 1</v>
      </c>
      <c r="AI912" s="56">
        <f>'[2]Изложницы без бурта'!G912</f>
        <v>7260051</v>
      </c>
      <c r="AJ912" s="56">
        <f>'[2]Изложницы без бурта'!H912</f>
        <v>0</v>
      </c>
      <c r="AK912" s="56">
        <f>'[2]Изложницы без бурта'!I912</f>
        <v>0</v>
      </c>
      <c r="AL912" s="56" t="s">
        <v>660</v>
      </c>
      <c r="AM912" s="56">
        <f>'[2]Изложницы без бурта'!K912</f>
        <v>0</v>
      </c>
    </row>
    <row r="913" spans="28:39" x14ac:dyDescent="0.25">
      <c r="AB913" s="253" t="str">
        <f t="shared" si="30"/>
        <v/>
      </c>
      <c r="AC913" s="254">
        <f>IF(COUNTIF(AD$78:AD913,AD913)=1,MAX(AC$78:AC912)+1,"")</f>
        <v>87</v>
      </c>
      <c r="AD913" s="215">
        <f>'[2]Изложницы без бурта'!B913</f>
        <v>307.5</v>
      </c>
      <c r="AE913" s="215">
        <f>'[2]Изложницы без бурта'!C913</f>
        <v>260</v>
      </c>
      <c r="AF913" s="56">
        <f>'[2]Изложницы без бурта'!D913</f>
        <v>415</v>
      </c>
      <c r="AG913" s="56">
        <f>'[2]Изложницы без бурта'!E913</f>
        <v>450</v>
      </c>
      <c r="AH913" s="56" t="str">
        <f>'[2]Изложницы без бурта'!F913</f>
        <v>10.252634 - 3</v>
      </c>
      <c r="AI913" s="56">
        <f>'[2]Изложницы без бурта'!G913</f>
        <v>0</v>
      </c>
      <c r="AJ913" s="56">
        <f>'[2]Изложницы без бурта'!H913</f>
        <v>0</v>
      </c>
      <c r="AK913" s="56">
        <f>'[2]Изложницы без бурта'!I913</f>
        <v>0</v>
      </c>
      <c r="AL913" s="56" t="s">
        <v>661</v>
      </c>
      <c r="AM913" s="56">
        <f>'[2]Изложницы без бурта'!K913</f>
        <v>0</v>
      </c>
    </row>
    <row r="914" spans="28:39" x14ac:dyDescent="0.25">
      <c r="AB914" s="253" t="str">
        <f t="shared" si="30"/>
        <v/>
      </c>
      <c r="AC914" s="254" t="str">
        <f>IF(COUNTIF(AD$78:AD914,AD914)=1,MAX(AC$78:AC913)+1,"")</f>
        <v/>
      </c>
      <c r="AD914" s="215">
        <f>'[2]Изложницы без бурта'!B914</f>
        <v>307.5</v>
      </c>
      <c r="AE914" s="215">
        <f>'[2]Изложницы без бурта'!C914</f>
        <v>467</v>
      </c>
      <c r="AF914" s="56">
        <f>'[2]Изложницы без бурта'!D914</f>
        <v>400</v>
      </c>
      <c r="AG914" s="56">
        <f>'[2]Изложницы без бурта'!E914</f>
        <v>400</v>
      </c>
      <c r="AH914" s="56" t="str">
        <f>'[2]Изложницы без бурта'!F914</f>
        <v>72.48005 - 3</v>
      </c>
      <c r="AI914" s="56">
        <f>'[2]Изложницы без бурта'!G914</f>
        <v>0</v>
      </c>
      <c r="AJ914" s="56">
        <f>'[2]Изложницы без бурта'!H914</f>
        <v>0</v>
      </c>
      <c r="AK914" s="56">
        <f>'[2]Изложницы без бурта'!I914</f>
        <v>0</v>
      </c>
      <c r="AL914" s="56" t="s">
        <v>661</v>
      </c>
      <c r="AM914" s="56">
        <f>'[2]Изложницы без бурта'!K914</f>
        <v>0</v>
      </c>
    </row>
    <row r="915" spans="28:39" x14ac:dyDescent="0.25">
      <c r="AB915" s="253" t="str">
        <f t="shared" si="30"/>
        <v/>
      </c>
      <c r="AC915" s="254" t="str">
        <f>IF(COUNTIF(AD$78:AD915,AD915)=1,MAX(AC$78:AC914)+1,"")</f>
        <v/>
      </c>
      <c r="AD915" s="215">
        <f>'[2]Изложницы без бурта'!B915</f>
        <v>307.5</v>
      </c>
      <c r="AE915" s="215">
        <f>'[2]Изложницы без бурта'!C915</f>
        <v>257</v>
      </c>
      <c r="AF915" s="56">
        <f>'[2]Изложницы без бурта'!D915</f>
        <v>360</v>
      </c>
      <c r="AG915" s="56">
        <f>'[2]Изложницы без бурта'!E915</f>
        <v>450</v>
      </c>
      <c r="AH915" s="56" t="str">
        <f>'[2]Изложницы без бурта'!F915</f>
        <v>72.11872 - 35</v>
      </c>
      <c r="AI915" s="56">
        <f>'[2]Изложницы без бурта'!G915</f>
        <v>0</v>
      </c>
      <c r="AJ915" s="56">
        <f>'[2]Изложницы без бурта'!H915</f>
        <v>0</v>
      </c>
      <c r="AK915" s="56">
        <f>'[2]Изложницы без бурта'!I915</f>
        <v>0</v>
      </c>
      <c r="AL915" s="56" t="s">
        <v>661</v>
      </c>
      <c r="AM915" s="56">
        <f>'[2]Изложницы без бурта'!K915</f>
        <v>0</v>
      </c>
    </row>
    <row r="916" spans="28:39" x14ac:dyDescent="0.25">
      <c r="AB916" s="253" t="str">
        <f t="shared" si="30"/>
        <v/>
      </c>
      <c r="AC916" s="254" t="str">
        <f>IF(COUNTIF(AD$78:AD916,AD916)=1,MAX(AC$78:AC915)+1,"")</f>
        <v/>
      </c>
      <c r="AD916" s="215">
        <f>'[2]Изложницы без бурта'!B916</f>
        <v>307.5</v>
      </c>
      <c r="AE916" s="215">
        <f>'[2]Изложницы без бурта'!C916</f>
        <v>260</v>
      </c>
      <c r="AF916" s="56">
        <f>'[2]Изложницы без бурта'!D916</f>
        <v>415</v>
      </c>
      <c r="AG916" s="56">
        <f>'[2]Изложницы без бурта'!E916</f>
        <v>450</v>
      </c>
      <c r="AH916" s="56" t="str">
        <f>'[2]Изложницы без бурта'!F916</f>
        <v>10.252634 - 3</v>
      </c>
      <c r="AI916" s="56">
        <f>'[2]Изложницы без бурта'!G916</f>
        <v>0</v>
      </c>
      <c r="AJ916" s="56">
        <f>'[2]Изложницы без бурта'!H916</f>
        <v>0</v>
      </c>
      <c r="AK916" s="56">
        <f>'[2]Изложницы без бурта'!I916</f>
        <v>0</v>
      </c>
      <c r="AL916" s="56" t="s">
        <v>661</v>
      </c>
      <c r="AM916" s="56">
        <f>'[2]Изложницы без бурта'!K916</f>
        <v>0</v>
      </c>
    </row>
    <row r="917" spans="28:39" x14ac:dyDescent="0.25">
      <c r="AB917" s="253" t="str">
        <f t="shared" si="30"/>
        <v/>
      </c>
      <c r="AC917" s="254" t="str">
        <f>IF(COUNTIF(AD$78:AD917,AD917)=1,MAX(AC$78:AC916)+1,"")</f>
        <v/>
      </c>
      <c r="AD917" s="215">
        <f>'[2]Изложницы без бурта'!B917</f>
        <v>307.5</v>
      </c>
      <c r="AE917" s="215">
        <f>'[2]Изложницы без бурта'!C917</f>
        <v>318</v>
      </c>
      <c r="AF917" s="56">
        <f>'[2]Изложницы без бурта'!D917</f>
        <v>375</v>
      </c>
      <c r="AG917" s="56">
        <f>'[2]Изложницы без бурта'!E917</f>
        <v>450</v>
      </c>
      <c r="AH917" s="56" t="str">
        <f>'[2]Изложницы без бурта'!F917</f>
        <v>10.246210 - 3</v>
      </c>
      <c r="AI917" s="56">
        <f>'[2]Изложницы без бурта'!G917</f>
        <v>7260052</v>
      </c>
      <c r="AJ917" s="56">
        <f>'[2]Изложницы без бурта'!H917</f>
        <v>0</v>
      </c>
      <c r="AK917" s="56">
        <f>'[2]Изложницы без бурта'!I917</f>
        <v>0</v>
      </c>
      <c r="AL917" s="56" t="s">
        <v>661</v>
      </c>
      <c r="AM917" s="56">
        <f>'[2]Изложницы без бурта'!K917</f>
        <v>0</v>
      </c>
    </row>
    <row r="918" spans="28:39" x14ac:dyDescent="0.25">
      <c r="AB918" s="253" t="str">
        <f t="shared" si="30"/>
        <v/>
      </c>
      <c r="AC918" s="254" t="str">
        <f>IF(COUNTIF(AD$78:AD918,AD918)=1,MAX(AC$78:AC917)+1,"")</f>
        <v/>
      </c>
      <c r="AD918" s="215">
        <f>'[2]Изложницы без бурта'!B918</f>
        <v>307.5</v>
      </c>
      <c r="AE918" s="215">
        <f>'[2]Изложницы без бурта'!C918</f>
        <v>260</v>
      </c>
      <c r="AF918" s="56">
        <f>'[2]Изложницы без бурта'!D918</f>
        <v>360</v>
      </c>
      <c r="AG918" s="56">
        <f>'[2]Изложницы без бурта'!E918</f>
        <v>450</v>
      </c>
      <c r="AH918" s="56" t="str">
        <f>'[2]Изложницы без бурта'!F918</f>
        <v>72.11872 - 35</v>
      </c>
      <c r="AI918" s="56">
        <f>'[2]Изложницы без бурта'!G918</f>
        <v>0</v>
      </c>
      <c r="AJ918" s="56">
        <f>'[2]Изложницы без бурта'!H918</f>
        <v>0</v>
      </c>
      <c r="AK918" s="56">
        <f>'[2]Изложницы без бурта'!I918</f>
        <v>0</v>
      </c>
      <c r="AL918" s="56" t="s">
        <v>661</v>
      </c>
      <c r="AM918" s="56">
        <f>'[2]Изложницы без бурта'!K918</f>
        <v>0</v>
      </c>
    </row>
    <row r="919" spans="28:39" x14ac:dyDescent="0.25">
      <c r="AB919" s="253" t="str">
        <f t="shared" si="30"/>
        <v/>
      </c>
      <c r="AC919" s="254">
        <f>IF(COUNTIF(AD$78:AD919,AD919)=1,MAX(AC$78:AC918)+1,"")</f>
        <v>88</v>
      </c>
      <c r="AD919" s="215">
        <f>'[2]Изложницы без бурта'!B919</f>
        <v>310</v>
      </c>
      <c r="AE919" s="215">
        <f>'[2]Изложницы без бурта'!C919</f>
        <v>255</v>
      </c>
      <c r="AF919" s="56">
        <f>'[2]Изложницы без бурта'!D919</f>
        <v>375</v>
      </c>
      <c r="AG919" s="56">
        <f>'[2]Изложницы без бурта'!E919</f>
        <v>450</v>
      </c>
      <c r="AH919" s="56" t="str">
        <f>'[2]Изложницы без бурта'!F919</f>
        <v>72.11872 - 36</v>
      </c>
      <c r="AI919" s="56">
        <f>'[2]Изложницы без бурта'!G919</f>
        <v>0</v>
      </c>
      <c r="AJ919" s="56">
        <f>'[2]Изложницы без бурта'!H919</f>
        <v>0</v>
      </c>
      <c r="AK919" s="56">
        <f>'[2]Изложницы без бурта'!I919</f>
        <v>0</v>
      </c>
      <c r="AL919" s="56" t="s">
        <v>662</v>
      </c>
      <c r="AM919" s="56">
        <f>'[2]Изложницы без бурта'!K919</f>
        <v>0</v>
      </c>
    </row>
    <row r="920" spans="28:39" x14ac:dyDescent="0.25">
      <c r="AB920" s="253" t="str">
        <f t="shared" si="30"/>
        <v/>
      </c>
      <c r="AC920" s="254" t="str">
        <f>IF(COUNTIF(AD$78:AD920,AD920)=1,MAX(AC$78:AC919)+1,"")</f>
        <v/>
      </c>
      <c r="AD920" s="215">
        <f>'[2]Изложницы без бурта'!B920</f>
        <v>310</v>
      </c>
      <c r="AE920" s="215">
        <f>'[2]Изложницы без бурта'!C920</f>
        <v>255</v>
      </c>
      <c r="AF920" s="56">
        <f>'[2]Изложницы без бурта'!D920</f>
        <v>360</v>
      </c>
      <c r="AG920" s="56">
        <f>'[2]Изложницы без бурта'!E920</f>
        <v>450</v>
      </c>
      <c r="AH920" s="56" t="str">
        <f>'[2]Изложницы без бурта'!F920</f>
        <v>72.11872 - 36</v>
      </c>
      <c r="AI920" s="56">
        <f>'[2]Изложницы без бурта'!G920</f>
        <v>0</v>
      </c>
      <c r="AJ920" s="56">
        <f>'[2]Изложницы без бурта'!H920</f>
        <v>0</v>
      </c>
      <c r="AK920" s="56">
        <f>'[2]Изложницы без бурта'!I920</f>
        <v>0</v>
      </c>
      <c r="AL920" s="56" t="s">
        <v>662</v>
      </c>
      <c r="AM920" s="56">
        <f>'[2]Изложницы без бурта'!K920</f>
        <v>0</v>
      </c>
    </row>
    <row r="921" spans="28:39" x14ac:dyDescent="0.25">
      <c r="AB921" s="253" t="str">
        <f t="shared" si="30"/>
        <v/>
      </c>
      <c r="AC921" s="254" t="str">
        <f>IF(COUNTIF(AD$78:AD921,AD921)=1,MAX(AC$78:AC920)+1,"")</f>
        <v/>
      </c>
      <c r="AD921" s="215">
        <f>'[2]Изложницы без бурта'!B921</f>
        <v>310</v>
      </c>
      <c r="AE921" s="215">
        <f>'[2]Изложницы без бурта'!C921</f>
        <v>255</v>
      </c>
      <c r="AF921" s="56">
        <f>'[2]Изложницы без бурта'!D921</f>
        <v>375</v>
      </c>
      <c r="AG921" s="56">
        <f>'[2]Изложницы без бурта'!E921</f>
        <v>450</v>
      </c>
      <c r="AH921" s="56" t="str">
        <f>'[2]Изложницы без бурта'!F921</f>
        <v>72.11872 - 36</v>
      </c>
      <c r="AI921" s="56">
        <f>'[2]Изложницы без бурта'!G921</f>
        <v>0</v>
      </c>
      <c r="AJ921" s="56">
        <f>'[2]Изложницы без бурта'!H921</f>
        <v>0</v>
      </c>
      <c r="AK921" s="56">
        <f>'[2]Изложницы без бурта'!I921</f>
        <v>0</v>
      </c>
      <c r="AL921" s="56" t="s">
        <v>662</v>
      </c>
      <c r="AM921" s="56">
        <f>'[2]Изложницы без бурта'!K921</f>
        <v>0</v>
      </c>
    </row>
    <row r="922" spans="28:39" x14ac:dyDescent="0.25">
      <c r="AB922" s="253" t="str">
        <f t="shared" si="30"/>
        <v/>
      </c>
      <c r="AC922" s="254" t="str">
        <f>IF(COUNTIF(AD$78:AD922,AD922)=1,MAX(AC$78:AC921)+1,"")</f>
        <v/>
      </c>
      <c r="AD922" s="215">
        <f>'[2]Изложницы без бурта'!B922</f>
        <v>310</v>
      </c>
      <c r="AE922" s="215">
        <f>'[2]Изложницы без бурта'!C922</f>
        <v>318</v>
      </c>
      <c r="AF922" s="56">
        <f>'[2]Изложницы без бурта'!D922</f>
        <v>360</v>
      </c>
      <c r="AG922" s="56">
        <f>'[2]Изложницы без бурта'!E922</f>
        <v>450</v>
      </c>
      <c r="AH922" s="56" t="str">
        <f>'[2]Изложницы без бурта'!F922</f>
        <v>10.246210 - 4</v>
      </c>
      <c r="AI922" s="56">
        <f>'[2]Изложницы без бурта'!G922</f>
        <v>0</v>
      </c>
      <c r="AJ922" s="56">
        <f>'[2]Изложницы без бурта'!H922</f>
        <v>0</v>
      </c>
      <c r="AK922" s="56">
        <f>'[2]Изложницы без бурта'!I922</f>
        <v>0</v>
      </c>
      <c r="AL922" s="56" t="s">
        <v>662</v>
      </c>
      <c r="AM922" s="56">
        <f>'[2]Изложницы без бурта'!K922</f>
        <v>0</v>
      </c>
    </row>
    <row r="923" spans="28:39" x14ac:dyDescent="0.25">
      <c r="AB923" s="253" t="str">
        <f t="shared" si="30"/>
        <v/>
      </c>
      <c r="AC923" s="254" t="str">
        <f>IF(COUNTIF(AD$78:AD923,AD923)=1,MAX(AC$78:AC922)+1,"")</f>
        <v/>
      </c>
      <c r="AD923" s="215">
        <f>'[2]Изложницы без бурта'!B923</f>
        <v>310</v>
      </c>
      <c r="AE923" s="215">
        <f>'[2]Изложницы без бурта'!C923</f>
        <v>367</v>
      </c>
      <c r="AF923" s="56">
        <f>'[2]Изложницы без бурта'!D923</f>
        <v>375</v>
      </c>
      <c r="AG923" s="56">
        <f>'[2]Изложницы без бурта'!E923</f>
        <v>450</v>
      </c>
      <c r="AH923" s="56" t="str">
        <f>'[2]Изложницы без бурта'!F923</f>
        <v>24.271248 - 3</v>
      </c>
      <c r="AI923" s="56">
        <f>'[2]Изложницы без бурта'!G923</f>
        <v>0</v>
      </c>
      <c r="AJ923" s="56">
        <f>'[2]Изложницы без бурта'!H923</f>
        <v>0</v>
      </c>
      <c r="AK923" s="56">
        <f>'[2]Изложницы без бурта'!I923</f>
        <v>0</v>
      </c>
      <c r="AL923" s="56" t="s">
        <v>662</v>
      </c>
      <c r="AM923" s="56">
        <f>'[2]Изложницы без бурта'!K923</f>
        <v>0</v>
      </c>
    </row>
    <row r="924" spans="28:39" x14ac:dyDescent="0.25">
      <c r="AB924" s="253" t="str">
        <f t="shared" si="30"/>
        <v/>
      </c>
      <c r="AC924" s="254" t="str">
        <f>IF(COUNTIF(AD$78:AD924,AD924)=1,MAX(AC$78:AC923)+1,"")</f>
        <v/>
      </c>
      <c r="AD924" s="215">
        <f>'[2]Изложницы без бурта'!B924</f>
        <v>310</v>
      </c>
      <c r="AE924" s="215">
        <f>'[2]Изложницы без бурта'!C924</f>
        <v>375</v>
      </c>
      <c r="AF924" s="56">
        <f>'[2]Изложницы без бурта'!D924</f>
        <v>360</v>
      </c>
      <c r="AG924" s="56">
        <f>'[2]Изложницы без бурта'!E924</f>
        <v>450</v>
      </c>
      <c r="AH924" s="56" t="str">
        <f>'[2]Изложницы без бурта'!F924</f>
        <v>24.271248 - 3</v>
      </c>
      <c r="AI924" s="56">
        <f>'[2]Изложницы без бурта'!G924</f>
        <v>0</v>
      </c>
      <c r="AJ924" s="56">
        <f>'[2]Изложницы без бурта'!H924</f>
        <v>0</v>
      </c>
      <c r="AK924" s="56">
        <f>'[2]Изложницы без бурта'!I924</f>
        <v>0</v>
      </c>
      <c r="AL924" s="56" t="s">
        <v>662</v>
      </c>
      <c r="AM924" s="56">
        <f>'[2]Изложницы без бурта'!K924</f>
        <v>0</v>
      </c>
    </row>
    <row r="925" spans="28:39" x14ac:dyDescent="0.25">
      <c r="AB925" s="253" t="str">
        <f t="shared" si="30"/>
        <v/>
      </c>
      <c r="AC925" s="254" t="str">
        <f>IF(COUNTIF(AD$78:AD925,AD925)=1,MAX(AC$78:AC924)+1,"")</f>
        <v/>
      </c>
      <c r="AD925" s="215">
        <f>'[2]Изложницы без бурта'!B925</f>
        <v>310</v>
      </c>
      <c r="AE925" s="215">
        <f>'[2]Изложницы без бурта'!C925</f>
        <v>320</v>
      </c>
      <c r="AF925" s="56">
        <f>'[2]Изложницы без бурта'!D925</f>
        <v>375</v>
      </c>
      <c r="AG925" s="56">
        <f>'[2]Изложницы без бурта'!E925</f>
        <v>450</v>
      </c>
      <c r="AH925" s="56" t="str">
        <f>'[2]Изложницы без бурта'!F925</f>
        <v>10.246210 - 4</v>
      </c>
      <c r="AI925" s="56">
        <f>'[2]Изложницы без бурта'!G925</f>
        <v>0</v>
      </c>
      <c r="AJ925" s="56">
        <f>'[2]Изложницы без бурта'!H925</f>
        <v>0</v>
      </c>
      <c r="AK925" s="56">
        <f>'[2]Изложницы без бурта'!I925</f>
        <v>0</v>
      </c>
      <c r="AL925" s="56" t="s">
        <v>662</v>
      </c>
      <c r="AM925" s="56">
        <f>'[2]Изложницы без бурта'!K925</f>
        <v>0</v>
      </c>
    </row>
    <row r="926" spans="28:39" x14ac:dyDescent="0.25">
      <c r="AB926" s="253" t="str">
        <f t="shared" si="30"/>
        <v/>
      </c>
      <c r="AC926" s="254" t="str">
        <f>IF(COUNTIF(AD$78:AD926,AD926)=1,MAX(AC$78:AC925)+1,"")</f>
        <v/>
      </c>
      <c r="AD926" s="215">
        <f>'[2]Изложницы без бурта'!B926</f>
        <v>310</v>
      </c>
      <c r="AE926" s="215">
        <f>'[2]Изложницы без бурта'!C926</f>
        <v>317</v>
      </c>
      <c r="AF926" s="56">
        <f>'[2]Изложницы без бурта'!D926</f>
        <v>415</v>
      </c>
      <c r="AG926" s="56">
        <f>'[2]Изложницы без бурта'!E926</f>
        <v>450</v>
      </c>
      <c r="AH926" s="56" t="str">
        <f>'[2]Изложницы без бурта'!F926</f>
        <v>10.246210 - 4</v>
      </c>
      <c r="AI926" s="56">
        <f>'[2]Изложницы без бурта'!G926</f>
        <v>0</v>
      </c>
      <c r="AJ926" s="56">
        <f>'[2]Изложницы без бурта'!H926</f>
        <v>0</v>
      </c>
      <c r="AK926" s="56">
        <f>'[2]Изложницы без бурта'!I926</f>
        <v>0</v>
      </c>
      <c r="AL926" s="56" t="s">
        <v>662</v>
      </c>
      <c r="AM926" s="56">
        <f>'[2]Изложницы без бурта'!K926</f>
        <v>0</v>
      </c>
    </row>
    <row r="927" spans="28:39" x14ac:dyDescent="0.25">
      <c r="AB927" s="253" t="str">
        <f t="shared" si="30"/>
        <v/>
      </c>
      <c r="AC927" s="254" t="str">
        <f>IF(COUNTIF(AD$78:AD927,AD927)=1,MAX(AC$78:AC926)+1,"")</f>
        <v/>
      </c>
      <c r="AD927" s="215">
        <f>'[2]Изложницы без бурта'!B927</f>
        <v>310</v>
      </c>
      <c r="AE927" s="215">
        <f>'[2]Изложницы без бурта'!C927</f>
        <v>260</v>
      </c>
      <c r="AF927" s="56">
        <f>'[2]Изложницы без бурта'!D927</f>
        <v>360</v>
      </c>
      <c r="AG927" s="56">
        <f>'[2]Изложницы без бурта'!E927</f>
        <v>450</v>
      </c>
      <c r="AH927" s="56" t="str">
        <f>'[2]Изложницы без бурта'!F927</f>
        <v>72.11872 - 36</v>
      </c>
      <c r="AI927" s="56">
        <f>'[2]Изложницы без бурта'!G927</f>
        <v>0</v>
      </c>
      <c r="AJ927" s="56">
        <f>'[2]Изложницы без бурта'!H927</f>
        <v>0</v>
      </c>
      <c r="AK927" s="56">
        <f>'[2]Изложницы без бурта'!I927</f>
        <v>0</v>
      </c>
      <c r="AL927" s="56" t="s">
        <v>662</v>
      </c>
      <c r="AM927" s="56">
        <f>'[2]Изложницы без бурта'!K927</f>
        <v>0</v>
      </c>
    </row>
    <row r="928" spans="28:39" x14ac:dyDescent="0.25">
      <c r="AB928" s="253" t="str">
        <f t="shared" si="30"/>
        <v/>
      </c>
      <c r="AC928" s="254">
        <f>IF(COUNTIF(AD$78:AD928,AD928)=1,MAX(AC$78:AC927)+1,"")</f>
        <v>89</v>
      </c>
      <c r="AD928" s="215">
        <f>'[2]Изложницы без бурта'!B928</f>
        <v>312.5</v>
      </c>
      <c r="AE928" s="215">
        <f>'[2]Изложницы без бурта'!C928</f>
        <v>470</v>
      </c>
      <c r="AF928" s="56">
        <f>'[2]Изложницы без бурта'!D928</f>
        <v>400</v>
      </c>
      <c r="AG928" s="56">
        <f>'[2]Изложницы без бурта'!E928</f>
        <v>400</v>
      </c>
      <c r="AH928" s="56" t="str">
        <f>'[2]Изложницы без бурта'!F928</f>
        <v>72.48005 - 5</v>
      </c>
      <c r="AI928" s="56">
        <f>'[2]Изложницы без бурта'!G928</f>
        <v>0</v>
      </c>
      <c r="AJ928" s="56">
        <f>'[2]Изложницы без бурта'!H928</f>
        <v>0</v>
      </c>
      <c r="AK928" s="56">
        <f>'[2]Изложницы без бурта'!I928</f>
        <v>0</v>
      </c>
      <c r="AL928" s="56" t="s">
        <v>663</v>
      </c>
      <c r="AM928" s="56">
        <f>'[2]Изложницы без бурта'!K928</f>
        <v>0</v>
      </c>
    </row>
    <row r="929" spans="28:39" x14ac:dyDescent="0.25">
      <c r="AB929" s="253" t="str">
        <f t="shared" si="30"/>
        <v/>
      </c>
      <c r="AC929" s="254" t="str">
        <f>IF(COUNTIF(AD$78:AD929,AD929)=1,MAX(AC$78:AC928)+1,"")</f>
        <v/>
      </c>
      <c r="AD929" s="215">
        <f>'[2]Изложницы без бурта'!B929</f>
        <v>312.5</v>
      </c>
      <c r="AE929" s="215">
        <f>'[2]Изложницы без бурта'!C929</f>
        <v>470</v>
      </c>
      <c r="AF929" s="56">
        <f>'[2]Изложницы без бурта'!D929</f>
        <v>400</v>
      </c>
      <c r="AG929" s="56">
        <f>'[2]Изложницы без бурта'!E929</f>
        <v>400</v>
      </c>
      <c r="AH929" s="56" t="str">
        <f>'[2]Изложницы без бурта'!F929</f>
        <v>72.48005 - 5</v>
      </c>
      <c r="AI929" s="56">
        <f>'[2]Изложницы без бурта'!G929</f>
        <v>0</v>
      </c>
      <c r="AJ929" s="56">
        <f>'[2]Изложницы без бурта'!H929</f>
        <v>0</v>
      </c>
      <c r="AK929" s="56">
        <f>'[2]Изложницы без бурта'!I929</f>
        <v>0</v>
      </c>
      <c r="AL929" s="56" t="s">
        <v>663</v>
      </c>
      <c r="AM929" s="56">
        <f>'[2]Изложницы без бурта'!K929</f>
        <v>0</v>
      </c>
    </row>
    <row r="930" spans="28:39" x14ac:dyDescent="0.25">
      <c r="AB930" s="253" t="str">
        <f t="shared" si="30"/>
        <v/>
      </c>
      <c r="AC930" s="254" t="str">
        <f>IF(COUNTIF(AD$78:AD930,AD930)=1,MAX(AC$78:AC929)+1,"")</f>
        <v/>
      </c>
      <c r="AD930" s="215">
        <f>'[2]Изложницы без бурта'!B930</f>
        <v>312.5</v>
      </c>
      <c r="AE930" s="215">
        <f>'[2]Изложницы без бурта'!C930</f>
        <v>470</v>
      </c>
      <c r="AF930" s="56">
        <f>'[2]Изложницы без бурта'!D930</f>
        <v>400</v>
      </c>
      <c r="AG930" s="56">
        <f>'[2]Изложницы без бурта'!E930</f>
        <v>400</v>
      </c>
      <c r="AH930" s="56" t="str">
        <f>'[2]Изложницы без бурта'!F930</f>
        <v>72.48005 - 5</v>
      </c>
      <c r="AI930" s="56">
        <f>'[2]Изложницы без бурта'!G930</f>
        <v>0</v>
      </c>
      <c r="AJ930" s="56">
        <f>'[2]Изложницы без бурта'!H930</f>
        <v>0</v>
      </c>
      <c r="AK930" s="56">
        <f>'[2]Изложницы без бурта'!I930</f>
        <v>0</v>
      </c>
      <c r="AL930" s="56" t="s">
        <v>663</v>
      </c>
      <c r="AM930" s="56">
        <f>'[2]Изложницы без бурта'!K930</f>
        <v>0</v>
      </c>
    </row>
    <row r="931" spans="28:39" x14ac:dyDescent="0.25">
      <c r="AB931" s="253" t="str">
        <f t="shared" si="30"/>
        <v/>
      </c>
      <c r="AC931" s="254" t="str">
        <f>IF(COUNTIF(AD$78:AD931,AD931)=1,MAX(AC$78:AC930)+1,"")</f>
        <v/>
      </c>
      <c r="AD931" s="215">
        <f>'[2]Изложницы без бурта'!B931</f>
        <v>312.5</v>
      </c>
      <c r="AE931" s="215">
        <f>'[2]Изложницы без бурта'!C931</f>
        <v>365</v>
      </c>
      <c r="AF931" s="56">
        <f>'[2]Изложницы без бурта'!D931</f>
        <v>375</v>
      </c>
      <c r="AG931" s="56">
        <f>'[2]Изложницы без бурта'!E931</f>
        <v>450</v>
      </c>
      <c r="AH931" s="56" t="str">
        <f>'[2]Изложницы без бурта'!F931</f>
        <v>72.18376 - 1</v>
      </c>
      <c r="AI931" s="56">
        <f>'[2]Изложницы без бурта'!G931</f>
        <v>7260053</v>
      </c>
      <c r="AJ931" s="56">
        <f>'[2]Изложницы без бурта'!H931</f>
        <v>0</v>
      </c>
      <c r="AK931" s="56">
        <f>'[2]Изложницы без бурта'!I931</f>
        <v>0</v>
      </c>
      <c r="AL931" s="56" t="s">
        <v>663</v>
      </c>
      <c r="AM931" s="56">
        <f>'[2]Изложницы без бурта'!K931</f>
        <v>0</v>
      </c>
    </row>
    <row r="932" spans="28:39" x14ac:dyDescent="0.25">
      <c r="AB932" s="253" t="str">
        <f t="shared" si="30"/>
        <v/>
      </c>
      <c r="AC932" s="254" t="str">
        <f>IF(COUNTIF(AD$78:AD932,AD932)=1,MAX(AC$78:AC931)+1,"")</f>
        <v/>
      </c>
      <c r="AD932" s="215">
        <f>'[2]Изложницы без бурта'!B932</f>
        <v>312.5</v>
      </c>
      <c r="AE932" s="215">
        <f>'[2]Изложницы без бурта'!C932</f>
        <v>470</v>
      </c>
      <c r="AF932" s="56">
        <f>'[2]Изложницы без бурта'!D932</f>
        <v>400</v>
      </c>
      <c r="AG932" s="56">
        <f>'[2]Изложницы без бурта'!E932</f>
        <v>400</v>
      </c>
      <c r="AH932" s="56" t="str">
        <f>'[2]Изложницы без бурта'!F932</f>
        <v>72.48005 - 5</v>
      </c>
      <c r="AI932" s="56">
        <f>'[2]Изложницы без бурта'!G932</f>
        <v>0</v>
      </c>
      <c r="AJ932" s="56">
        <f>'[2]Изложницы без бурта'!H932</f>
        <v>0</v>
      </c>
      <c r="AK932" s="56">
        <f>'[2]Изложницы без бурта'!I932</f>
        <v>0</v>
      </c>
      <c r="AL932" s="56" t="s">
        <v>663</v>
      </c>
      <c r="AM932" s="56">
        <f>'[2]Изложницы без бурта'!K932</f>
        <v>0</v>
      </c>
    </row>
    <row r="933" spans="28:39" x14ac:dyDescent="0.25">
      <c r="AB933" s="253" t="str">
        <f t="shared" si="30"/>
        <v/>
      </c>
      <c r="AC933" s="254" t="str">
        <f>IF(COUNTIF(AD$78:AD933,AD933)=1,MAX(AC$78:AC932)+1,"")</f>
        <v/>
      </c>
      <c r="AD933" s="215">
        <f>'[2]Изложницы без бурта'!B933</f>
        <v>312.5</v>
      </c>
      <c r="AE933" s="215">
        <f>'[2]Изложницы без бурта'!C933</f>
        <v>470</v>
      </c>
      <c r="AF933" s="56">
        <f>'[2]Изложницы без бурта'!D933</f>
        <v>400</v>
      </c>
      <c r="AG933" s="56">
        <f>'[2]Изложницы без бурта'!E933</f>
        <v>400</v>
      </c>
      <c r="AH933" s="56" t="str">
        <f>'[2]Изложницы без бурта'!F933</f>
        <v>72.48005 - 5</v>
      </c>
      <c r="AI933" s="56">
        <f>'[2]Изложницы без бурта'!G933</f>
        <v>0</v>
      </c>
      <c r="AJ933" s="56">
        <f>'[2]Изложницы без бурта'!H933</f>
        <v>0</v>
      </c>
      <c r="AK933" s="56">
        <f>'[2]Изложницы без бурта'!I933</f>
        <v>0</v>
      </c>
      <c r="AL933" s="56" t="s">
        <v>663</v>
      </c>
      <c r="AM933" s="56">
        <f>'[2]Изложницы без бурта'!K933</f>
        <v>0</v>
      </c>
    </row>
    <row r="934" spans="28:39" x14ac:dyDescent="0.25">
      <c r="AB934" s="253" t="str">
        <f t="shared" si="30"/>
        <v/>
      </c>
      <c r="AC934" s="254" t="str">
        <f>IF(COUNTIF(AD$78:AD934,AD934)=1,MAX(AC$78:AC933)+1,"")</f>
        <v/>
      </c>
      <c r="AD934" s="215">
        <f>'[2]Изложницы без бурта'!B934</f>
        <v>312.5</v>
      </c>
      <c r="AE934" s="215">
        <f>'[2]Изложницы без бурта'!C934</f>
        <v>260</v>
      </c>
      <c r="AF934" s="56">
        <f>'[2]Изложницы без бурта'!D934</f>
        <v>360</v>
      </c>
      <c r="AG934" s="56">
        <f>'[2]Изложницы без бурта'!E934</f>
        <v>450</v>
      </c>
      <c r="AH934" s="56" t="str">
        <f>'[2]Изложницы без бурта'!F934</f>
        <v>72.11872 - 37</v>
      </c>
      <c r="AI934" s="56">
        <f>'[2]Изложницы без бурта'!G934</f>
        <v>0</v>
      </c>
      <c r="AJ934" s="56">
        <f>'[2]Изложницы без бурта'!H934</f>
        <v>0</v>
      </c>
      <c r="AK934" s="56">
        <f>'[2]Изложницы без бурта'!I934</f>
        <v>0</v>
      </c>
      <c r="AL934" s="56" t="s">
        <v>663</v>
      </c>
      <c r="AM934" s="56">
        <f>'[2]Изложницы без бурта'!K934</f>
        <v>0</v>
      </c>
    </row>
    <row r="935" spans="28:39" x14ac:dyDescent="0.25">
      <c r="AB935" s="253" t="str">
        <f t="shared" si="30"/>
        <v/>
      </c>
      <c r="AC935" s="254" t="str">
        <f>IF(COUNTIF(AD$78:AD935,AD935)=1,MAX(AC$78:AC934)+1,"")</f>
        <v/>
      </c>
      <c r="AD935" s="215">
        <f>'[2]Изложницы без бурта'!B935</f>
        <v>312.5</v>
      </c>
      <c r="AE935" s="215">
        <f>'[2]Изложницы без бурта'!C935</f>
        <v>260</v>
      </c>
      <c r="AF935" s="56">
        <f>'[2]Изложницы без бурта'!D935</f>
        <v>360</v>
      </c>
      <c r="AG935" s="56">
        <f>'[2]Изложницы без бурта'!E935</f>
        <v>450</v>
      </c>
      <c r="AH935" s="56" t="str">
        <f>'[2]Изложницы без бурта'!F935</f>
        <v>72.11872 - 37</v>
      </c>
      <c r="AI935" s="56">
        <f>'[2]Изложницы без бурта'!G935</f>
        <v>0</v>
      </c>
      <c r="AJ935" s="56">
        <f>'[2]Изложницы без бурта'!H935</f>
        <v>0</v>
      </c>
      <c r="AK935" s="56">
        <f>'[2]Изложницы без бурта'!I935</f>
        <v>0</v>
      </c>
      <c r="AL935" s="56" t="s">
        <v>663</v>
      </c>
      <c r="AM935" s="56">
        <f>'[2]Изложницы без бурта'!K935</f>
        <v>0</v>
      </c>
    </row>
    <row r="936" spans="28:39" x14ac:dyDescent="0.25">
      <c r="AB936" s="253" t="str">
        <f t="shared" si="30"/>
        <v/>
      </c>
      <c r="AC936" s="254" t="str">
        <f>IF(COUNTIF(AD$78:AD936,AD936)=1,MAX(AC$78:AC935)+1,"")</f>
        <v/>
      </c>
      <c r="AD936" s="215">
        <f>'[2]Изложницы без бурта'!B936</f>
        <v>312.5</v>
      </c>
      <c r="AE936" s="215">
        <f>'[2]Изложницы без бурта'!C936</f>
        <v>467</v>
      </c>
      <c r="AF936" s="56">
        <f>'[2]Изложницы без бурта'!D936</f>
        <v>400</v>
      </c>
      <c r="AG936" s="56">
        <f>'[2]Изложницы без бурта'!E936</f>
        <v>400</v>
      </c>
      <c r="AH936" s="56" t="str">
        <f>'[2]Изложницы без бурта'!F936</f>
        <v>72.48005 - 5</v>
      </c>
      <c r="AI936" s="56">
        <f>'[2]Изложницы без бурта'!G936</f>
        <v>0</v>
      </c>
      <c r="AJ936" s="56">
        <f>'[2]Изложницы без бурта'!H936</f>
        <v>0</v>
      </c>
      <c r="AK936" s="56">
        <f>'[2]Изложницы без бурта'!I936</f>
        <v>0</v>
      </c>
      <c r="AL936" s="56" t="s">
        <v>663</v>
      </c>
      <c r="AM936" s="56">
        <f>'[2]Изложницы без бурта'!K936</f>
        <v>0</v>
      </c>
    </row>
    <row r="937" spans="28:39" x14ac:dyDescent="0.25">
      <c r="AB937" s="253" t="str">
        <f t="shared" si="30"/>
        <v/>
      </c>
      <c r="AC937" s="254" t="str">
        <f>IF(COUNTIF(AD$78:AD937,AD937)=1,MAX(AC$78:AC936)+1,"")</f>
        <v/>
      </c>
      <c r="AD937" s="215">
        <f>'[2]Изложницы без бурта'!B937</f>
        <v>312.5</v>
      </c>
      <c r="AE937" s="215">
        <f>'[2]Изложницы без бурта'!C937</f>
        <v>467</v>
      </c>
      <c r="AF937" s="56">
        <f>'[2]Изложницы без бурта'!D937</f>
        <v>400</v>
      </c>
      <c r="AG937" s="56">
        <f>'[2]Изложницы без бурта'!E937</f>
        <v>400</v>
      </c>
      <c r="AH937" s="56" t="str">
        <f>'[2]Изложницы без бурта'!F937</f>
        <v>72.48005 - 5</v>
      </c>
      <c r="AI937" s="56">
        <f>'[2]Изложницы без бурта'!G937</f>
        <v>0</v>
      </c>
      <c r="AJ937" s="56">
        <f>'[2]Изложницы без бурта'!H937</f>
        <v>0</v>
      </c>
      <c r="AK937" s="56">
        <f>'[2]Изложницы без бурта'!I937</f>
        <v>0</v>
      </c>
      <c r="AL937" s="56" t="s">
        <v>663</v>
      </c>
      <c r="AM937" s="56">
        <f>'[2]Изложницы без бурта'!K937</f>
        <v>0</v>
      </c>
    </row>
    <row r="938" spans="28:39" x14ac:dyDescent="0.25">
      <c r="AB938" s="253" t="str">
        <f t="shared" si="30"/>
        <v/>
      </c>
      <c r="AC938" s="254">
        <f>IF(COUNTIF(AD$78:AD938,AD938)=1,MAX(AC$78:AC937)+1,"")</f>
        <v>90</v>
      </c>
      <c r="AD938" s="215">
        <f>'[2]Изложницы без бурта'!B938</f>
        <v>315</v>
      </c>
      <c r="AE938" s="215">
        <f>'[2]Изложницы без бурта'!C938</f>
        <v>530</v>
      </c>
      <c r="AF938" s="56">
        <f>'[2]Изложницы без бурта'!D938</f>
        <v>415</v>
      </c>
      <c r="AG938" s="56">
        <f>'[2]Изложницы без бурта'!E938</f>
        <v>400</v>
      </c>
      <c r="AH938" s="56" t="str">
        <f>'[2]Изложницы без бурта'!F938</f>
        <v>10.249496 - 1</v>
      </c>
      <c r="AI938" s="56">
        <f>'[2]Изложницы без бурта'!G938</f>
        <v>7260054</v>
      </c>
      <c r="AJ938" s="56" t="str">
        <f>'[2]Изложницы без бурта'!H938</f>
        <v>можно толкатель дл.30 для БрА9Ж3Л</v>
      </c>
      <c r="AK938" s="56">
        <f>'[2]Изложницы без бурта'!I938</f>
        <v>0</v>
      </c>
      <c r="AL938" s="56" t="s">
        <v>664</v>
      </c>
      <c r="AM938" s="56">
        <f>'[2]Изложницы без бурта'!K938</f>
        <v>0</v>
      </c>
    </row>
    <row r="939" spans="28:39" x14ac:dyDescent="0.25">
      <c r="AB939" s="253" t="str">
        <f t="shared" si="30"/>
        <v/>
      </c>
      <c r="AC939" s="254" t="str">
        <f>IF(COUNTIF(AD$78:AD939,AD939)=1,MAX(AC$78:AC938)+1,"")</f>
        <v/>
      </c>
      <c r="AD939" s="215">
        <f>'[2]Изложницы без бурта'!B939</f>
        <v>315</v>
      </c>
      <c r="AE939" s="215">
        <f>'[2]Изложницы без бурта'!C939</f>
        <v>260</v>
      </c>
      <c r="AF939" s="56">
        <f>'[2]Изложницы без бурта'!D939</f>
        <v>360</v>
      </c>
      <c r="AG939" s="56">
        <f>'[2]Изложницы без бурта'!E939</f>
        <v>450</v>
      </c>
      <c r="AH939" s="56" t="str">
        <f>'[2]Изложницы без бурта'!F939</f>
        <v>72.11872 - 38</v>
      </c>
      <c r="AI939" s="56">
        <f>'[2]Изложницы без бурта'!G939</f>
        <v>0</v>
      </c>
      <c r="AJ939" s="56">
        <f>'[2]Изложницы без бурта'!H939</f>
        <v>0</v>
      </c>
      <c r="AK939" s="56">
        <f>'[2]Изложницы без бурта'!I939</f>
        <v>0</v>
      </c>
      <c r="AL939" s="56" t="s">
        <v>664</v>
      </c>
      <c r="AM939" s="56">
        <f>'[2]Изложницы без бурта'!K939</f>
        <v>0</v>
      </c>
    </row>
    <row r="940" spans="28:39" x14ac:dyDescent="0.25">
      <c r="AB940" s="253" t="str">
        <f t="shared" si="30"/>
        <v/>
      </c>
      <c r="AC940" s="254" t="str">
        <f>IF(COUNTIF(AD$78:AD940,AD940)=1,MAX(AC$78:AC939)+1,"")</f>
        <v/>
      </c>
      <c r="AD940" s="215">
        <f>'[2]Изложницы без бурта'!B940</f>
        <v>315</v>
      </c>
      <c r="AE940" s="215">
        <f>'[2]Изложницы без бурта'!C940</f>
        <v>260</v>
      </c>
      <c r="AF940" s="56">
        <f>'[2]Изложницы без бурта'!D940</f>
        <v>375</v>
      </c>
      <c r="AG940" s="56">
        <f>'[2]Изложницы без бурта'!E940</f>
        <v>450</v>
      </c>
      <c r="AH940" s="56" t="str">
        <f>'[2]Изложницы без бурта'!F940</f>
        <v>72.11872 - 38</v>
      </c>
      <c r="AI940" s="56">
        <f>'[2]Изложницы без бурта'!G940</f>
        <v>0</v>
      </c>
      <c r="AJ940" s="56">
        <f>'[2]Изложницы без бурта'!H940</f>
        <v>0</v>
      </c>
      <c r="AK940" s="56">
        <f>'[2]Изложницы без бурта'!I940</f>
        <v>0</v>
      </c>
      <c r="AL940" s="56" t="s">
        <v>664</v>
      </c>
      <c r="AM940" s="56">
        <f>'[2]Изложницы без бурта'!K940</f>
        <v>0</v>
      </c>
    </row>
    <row r="941" spans="28:39" x14ac:dyDescent="0.25">
      <c r="AB941" s="253" t="str">
        <f t="shared" si="30"/>
        <v/>
      </c>
      <c r="AC941" s="254" t="str">
        <f>IF(COUNTIF(AD$78:AD941,AD941)=1,MAX(AC$78:AC940)+1,"")</f>
        <v/>
      </c>
      <c r="AD941" s="215">
        <f>'[2]Изложницы без бурта'!B941</f>
        <v>315</v>
      </c>
      <c r="AE941" s="215">
        <f>'[2]Изложницы без бурта'!C941</f>
        <v>397</v>
      </c>
      <c r="AF941" s="56">
        <f>'[2]Изложницы без бурта'!D941</f>
        <v>415</v>
      </c>
      <c r="AG941" s="56">
        <f>'[2]Изложницы без бурта'!E941</f>
        <v>400</v>
      </c>
      <c r="AH941" s="56" t="str">
        <f>'[2]Изложницы без бурта'!F941</f>
        <v>72.18376 - 6</v>
      </c>
      <c r="AI941" s="56">
        <f>'[2]Изложницы без бурта'!G941</f>
        <v>0</v>
      </c>
      <c r="AJ941" s="56">
        <f>'[2]Изложницы без бурта'!H941</f>
        <v>0</v>
      </c>
      <c r="AK941" s="56">
        <f>'[2]Изложницы без бурта'!I941</f>
        <v>0</v>
      </c>
      <c r="AL941" s="56" t="s">
        <v>664</v>
      </c>
      <c r="AM941" s="56">
        <f>'[2]Изложницы без бурта'!K941</f>
        <v>0</v>
      </c>
    </row>
    <row r="942" spans="28:39" x14ac:dyDescent="0.25">
      <c r="AB942" s="253" t="str">
        <f t="shared" si="30"/>
        <v/>
      </c>
      <c r="AC942" s="254" t="str">
        <f>IF(COUNTIF(AD$78:AD942,AD942)=1,MAX(AC$78:AC941)+1,"")</f>
        <v/>
      </c>
      <c r="AD942" s="215">
        <f>'[2]Изложницы без бурта'!B942</f>
        <v>315</v>
      </c>
      <c r="AE942" s="215">
        <f>'[2]Изложницы без бурта'!C942</f>
        <v>470</v>
      </c>
      <c r="AF942" s="56">
        <f>'[2]Изложницы без бурта'!D942</f>
        <v>400</v>
      </c>
      <c r="AG942" s="56">
        <f>'[2]Изложницы без бурта'!E942</f>
        <v>400</v>
      </c>
      <c r="AH942" s="56" t="str">
        <f>'[2]Изложницы без бурта'!F942</f>
        <v>72.48005 - 6</v>
      </c>
      <c r="AI942" s="56">
        <f>'[2]Изложницы без бурта'!G942</f>
        <v>7260055</v>
      </c>
      <c r="AJ942" s="56">
        <f>'[2]Изложницы без бурта'!H942</f>
        <v>0</v>
      </c>
      <c r="AK942" s="56">
        <f>'[2]Изложницы без бурта'!I942</f>
        <v>0</v>
      </c>
      <c r="AL942" s="56" t="s">
        <v>664</v>
      </c>
      <c r="AM942" s="56">
        <f>'[2]Изложницы без бурта'!K942</f>
        <v>0</v>
      </c>
    </row>
    <row r="943" spans="28:39" x14ac:dyDescent="0.25">
      <c r="AB943" s="253" t="str">
        <f t="shared" si="30"/>
        <v/>
      </c>
      <c r="AC943" s="254" t="str">
        <f>IF(COUNTIF(AD$78:AD943,AD943)=1,MAX(AC$78:AC942)+1,"")</f>
        <v/>
      </c>
      <c r="AD943" s="215">
        <f>'[2]Изложницы без бурта'!B943</f>
        <v>315</v>
      </c>
      <c r="AE943" s="215">
        <f>'[2]Изложницы без бурта'!C943</f>
        <v>257</v>
      </c>
      <c r="AF943" s="56">
        <f>'[2]Изложницы без бурта'!D943</f>
        <v>375</v>
      </c>
      <c r="AG943" s="56">
        <f>'[2]Изложницы без бурта'!E943</f>
        <v>450</v>
      </c>
      <c r="AH943" s="56" t="str">
        <f>'[2]Изложницы без бурта'!F943</f>
        <v>72.11872 - 38</v>
      </c>
      <c r="AI943" s="56">
        <f>'[2]Изложницы без бурта'!G943</f>
        <v>0</v>
      </c>
      <c r="AJ943" s="56">
        <f>'[2]Изложницы без бурта'!H943</f>
        <v>0</v>
      </c>
      <c r="AK943" s="56">
        <f>'[2]Изложницы без бурта'!I943</f>
        <v>0</v>
      </c>
      <c r="AL943" s="56" t="s">
        <v>664</v>
      </c>
      <c r="AM943" s="56">
        <f>'[2]Изложницы без бурта'!K943</f>
        <v>0</v>
      </c>
    </row>
    <row r="944" spans="28:39" x14ac:dyDescent="0.25">
      <c r="AB944" s="253" t="str">
        <f t="shared" si="30"/>
        <v/>
      </c>
      <c r="AC944" s="254" t="str">
        <f>IF(COUNTIF(AD$78:AD944,AD944)=1,MAX(AC$78:AC943)+1,"")</f>
        <v/>
      </c>
      <c r="AD944" s="215">
        <f>'[2]Изложницы без бурта'!B944</f>
        <v>315</v>
      </c>
      <c r="AE944" s="215">
        <f>'[2]Изложницы без бурта'!C944</f>
        <v>530</v>
      </c>
      <c r="AF944" s="56">
        <f>'[2]Изложницы без бурта'!D944</f>
        <v>415</v>
      </c>
      <c r="AG944" s="56">
        <f>'[2]Изложницы без бурта'!E944</f>
        <v>400</v>
      </c>
      <c r="AH944" s="56" t="str">
        <f>'[2]Изложницы без бурта'!F944</f>
        <v>10.249496 - 1</v>
      </c>
      <c r="AI944" s="56">
        <f>'[2]Изложницы без бурта'!G944</f>
        <v>0</v>
      </c>
      <c r="AJ944" s="56">
        <f>'[2]Изложницы без бурта'!H944</f>
        <v>0</v>
      </c>
      <c r="AK944" s="56">
        <f>'[2]Изложницы без бурта'!I944</f>
        <v>0</v>
      </c>
      <c r="AL944" s="56" t="s">
        <v>664</v>
      </c>
      <c r="AM944" s="56">
        <f>'[2]Изложницы без бурта'!K944</f>
        <v>0</v>
      </c>
    </row>
    <row r="945" spans="28:39" x14ac:dyDescent="0.25">
      <c r="AB945" s="253" t="str">
        <f t="shared" si="30"/>
        <v/>
      </c>
      <c r="AC945" s="254" t="str">
        <f>IF(COUNTIF(AD$78:AD945,AD945)=1,MAX(AC$78:AC944)+1,"")</f>
        <v/>
      </c>
      <c r="AD945" s="215">
        <f>'[2]Изложницы без бурта'!B945</f>
        <v>315</v>
      </c>
      <c r="AE945" s="215">
        <f>'[2]Изложницы без бурта'!C945</f>
        <v>255</v>
      </c>
      <c r="AF945" s="56">
        <f>'[2]Изложницы без бурта'!D945</f>
        <v>360</v>
      </c>
      <c r="AG945" s="56">
        <f>'[2]Изложницы без бурта'!E945</f>
        <v>450</v>
      </c>
      <c r="AH945" s="56" t="str">
        <f>'[2]Изложницы без бурта'!F945</f>
        <v>72.11872 - 38</v>
      </c>
      <c r="AI945" s="56">
        <f>'[2]Изложницы без бурта'!G945</f>
        <v>0</v>
      </c>
      <c r="AJ945" s="56">
        <f>'[2]Изложницы без бурта'!H945</f>
        <v>0</v>
      </c>
      <c r="AK945" s="56">
        <f>'[2]Изложницы без бурта'!I945</f>
        <v>0</v>
      </c>
      <c r="AL945" s="56" t="s">
        <v>664</v>
      </c>
      <c r="AM945" s="56">
        <f>'[2]Изложницы без бурта'!K945</f>
        <v>0</v>
      </c>
    </row>
    <row r="946" spans="28:39" x14ac:dyDescent="0.25">
      <c r="AB946" s="253" t="str">
        <f t="shared" si="30"/>
        <v/>
      </c>
      <c r="AC946" s="254">
        <f>IF(COUNTIF(AD$78:AD946,AD946)=1,MAX(AC$78:AC945)+1,"")</f>
        <v>91</v>
      </c>
      <c r="AD946" s="215">
        <f>'[2]Изложницы без бурта'!B946</f>
        <v>317.5</v>
      </c>
      <c r="AE946" s="215">
        <f>'[2]Изложницы без бурта'!C946</f>
        <v>363</v>
      </c>
      <c r="AF946" s="56">
        <f>'[2]Изложницы без бурта'!D946</f>
        <v>375</v>
      </c>
      <c r="AG946" s="56">
        <f>'[2]Изложницы без бурта'!E946</f>
        <v>450</v>
      </c>
      <c r="AH946" s="56" t="str">
        <f>'[2]Изложницы без бурта'!F946</f>
        <v>72.18376 - 2</v>
      </c>
      <c r="AI946" s="56">
        <f>'[2]Изложницы без бурта'!G946</f>
        <v>7260056</v>
      </c>
      <c r="AJ946" s="56">
        <f>'[2]Изложницы без бурта'!H946</f>
        <v>0</v>
      </c>
      <c r="AK946" s="56">
        <f>'[2]Изложницы без бурта'!I946</f>
        <v>0</v>
      </c>
      <c r="AL946" s="56" t="s">
        <v>665</v>
      </c>
      <c r="AM946" s="56">
        <f>'[2]Изложницы без бурта'!K946</f>
        <v>0</v>
      </c>
    </row>
    <row r="947" spans="28:39" x14ac:dyDescent="0.25">
      <c r="AB947" s="253" t="str">
        <f t="shared" si="30"/>
        <v/>
      </c>
      <c r="AC947" s="254" t="str">
        <f>IF(COUNTIF(AD$78:AD947,AD947)=1,MAX(AC$78:AC946)+1,"")</f>
        <v/>
      </c>
      <c r="AD947" s="215">
        <f>'[2]Изложницы без бурта'!B947</f>
        <v>317.5</v>
      </c>
      <c r="AE947" s="215">
        <f>'[2]Изложницы без бурта'!C947</f>
        <v>257</v>
      </c>
      <c r="AF947" s="56">
        <f>'[2]Изложницы без бурта'!D947</f>
        <v>360</v>
      </c>
      <c r="AG947" s="56">
        <f>'[2]Изложницы без бурта'!E947</f>
        <v>450</v>
      </c>
      <c r="AH947" s="56" t="str">
        <f>'[2]Изложницы без бурта'!F947</f>
        <v>72.11872 - 39</v>
      </c>
      <c r="AI947" s="56">
        <f>'[2]Изложницы без бурта'!G947</f>
        <v>0</v>
      </c>
      <c r="AJ947" s="56">
        <f>'[2]Изложницы без бурта'!H947</f>
        <v>0</v>
      </c>
      <c r="AK947" s="56">
        <f>'[2]Изложницы без бурта'!I947</f>
        <v>0</v>
      </c>
      <c r="AL947" s="56" t="s">
        <v>665</v>
      </c>
      <c r="AM947" s="56">
        <f>'[2]Изложницы без бурта'!K947</f>
        <v>0</v>
      </c>
    </row>
    <row r="948" spans="28:39" x14ac:dyDescent="0.25">
      <c r="AB948" s="253" t="str">
        <f t="shared" si="30"/>
        <v/>
      </c>
      <c r="AC948" s="254" t="str">
        <f>IF(COUNTIF(AD$78:AD948,AD948)=1,MAX(AC$78:AC947)+1,"")</f>
        <v/>
      </c>
      <c r="AD948" s="215">
        <f>'[2]Изложницы без бурта'!B948</f>
        <v>317.5</v>
      </c>
      <c r="AE948" s="215">
        <f>'[2]Изложницы без бурта'!C948</f>
        <v>257</v>
      </c>
      <c r="AF948" s="56">
        <f>'[2]Изложницы без бурта'!D948</f>
        <v>360</v>
      </c>
      <c r="AG948" s="56">
        <f>'[2]Изложницы без бурта'!E948</f>
        <v>450</v>
      </c>
      <c r="AH948" s="56" t="str">
        <f>'[2]Изложницы без бурта'!F948</f>
        <v>72.11872 - 39</v>
      </c>
      <c r="AI948" s="56">
        <f>'[2]Изложницы без бурта'!G948</f>
        <v>0</v>
      </c>
      <c r="AJ948" s="56">
        <f>'[2]Изложницы без бурта'!H948</f>
        <v>0</v>
      </c>
      <c r="AK948" s="56">
        <f>'[2]Изложницы без бурта'!I948</f>
        <v>0</v>
      </c>
      <c r="AL948" s="56" t="s">
        <v>665</v>
      </c>
      <c r="AM948" s="56">
        <f>'[2]Изложницы без бурта'!K948</f>
        <v>0</v>
      </c>
    </row>
    <row r="949" spans="28:39" x14ac:dyDescent="0.25">
      <c r="AB949" s="253" t="str">
        <f t="shared" si="30"/>
        <v/>
      </c>
      <c r="AC949" s="254">
        <f>IF(COUNTIF(AD$78:AD949,AD949)=1,MAX(AC$78:AC948)+1,"")</f>
        <v>92</v>
      </c>
      <c r="AD949" s="215">
        <f>'[2]Изложницы без бурта'!B949</f>
        <v>320</v>
      </c>
      <c r="AE949" s="215">
        <f>'[2]Изложницы без бурта'!C949</f>
        <v>525</v>
      </c>
      <c r="AF949" s="56">
        <f>'[2]Изложницы без бурта'!D949</f>
        <v>415</v>
      </c>
      <c r="AG949" s="56">
        <f>'[2]Изложницы без бурта'!E949</f>
        <v>400</v>
      </c>
      <c r="AH949" s="56" t="str">
        <f>'[2]Изложницы без бурта'!F949</f>
        <v>10.249496 - 3</v>
      </c>
      <c r="AI949" s="56">
        <f>'[2]Изложницы без бурта'!G949</f>
        <v>7260057</v>
      </c>
      <c r="AJ949" s="56" t="str">
        <f>'[2]Изложницы без бурта'!H949</f>
        <v>Переточили Ø320 -&gt; Ø330</v>
      </c>
      <c r="AK949" s="56">
        <f>'[2]Изложницы без бурта'!I949</f>
        <v>0</v>
      </c>
      <c r="AL949" s="56" t="s">
        <v>666</v>
      </c>
      <c r="AM949" s="56">
        <f>'[2]Изложницы без бурта'!K949</f>
        <v>0</v>
      </c>
    </row>
    <row r="950" spans="28:39" x14ac:dyDescent="0.25">
      <c r="AB950" s="253" t="str">
        <f t="shared" si="30"/>
        <v/>
      </c>
      <c r="AC950" s="254" t="str">
        <f>IF(COUNTIF(AD$78:AD950,AD950)=1,MAX(AC$78:AC949)+1,"")</f>
        <v/>
      </c>
      <c r="AD950" s="215">
        <f>'[2]Изложницы без бурта'!B950</f>
        <v>320</v>
      </c>
      <c r="AE950" s="215">
        <f>'[2]Изложницы без бурта'!C950</f>
        <v>255</v>
      </c>
      <c r="AF950" s="56">
        <f>'[2]Изложницы без бурта'!D950</f>
        <v>375</v>
      </c>
      <c r="AG950" s="56">
        <f>'[2]Изложницы без бурта'!E950</f>
        <v>450</v>
      </c>
      <c r="AH950" s="56" t="str">
        <f>'[2]Изложницы без бурта'!F950</f>
        <v>72.11872 - 40</v>
      </c>
      <c r="AI950" s="56">
        <f>'[2]Изложницы без бурта'!G950</f>
        <v>0</v>
      </c>
      <c r="AJ950" s="56">
        <f>'[2]Изложницы без бурта'!H950</f>
        <v>0</v>
      </c>
      <c r="AK950" s="56">
        <f>'[2]Изложницы без бурта'!I950</f>
        <v>0</v>
      </c>
      <c r="AL950" s="56" t="s">
        <v>666</v>
      </c>
      <c r="AM950" s="56">
        <f>'[2]Изложницы без бурта'!K950</f>
        <v>0</v>
      </c>
    </row>
    <row r="951" spans="28:39" x14ac:dyDescent="0.25">
      <c r="AB951" s="253" t="str">
        <f t="shared" si="30"/>
        <v/>
      </c>
      <c r="AC951" s="254" t="str">
        <f>IF(COUNTIF(AD$78:AD951,AD951)=1,MAX(AC$78:AC950)+1,"")</f>
        <v/>
      </c>
      <c r="AD951" s="215">
        <f>'[2]Изложницы без бурта'!B951</f>
        <v>320</v>
      </c>
      <c r="AE951" s="215">
        <f>'[2]Изложницы без бурта'!C951</f>
        <v>260</v>
      </c>
      <c r="AF951" s="56">
        <f>'[2]Изложницы без бурта'!D951</f>
        <v>360</v>
      </c>
      <c r="AG951" s="56">
        <f>'[2]Изложницы без бурта'!E951</f>
        <v>450</v>
      </c>
      <c r="AH951" s="56" t="str">
        <f>'[2]Изложницы без бурта'!F951</f>
        <v>72.11872 - 40</v>
      </c>
      <c r="AI951" s="56">
        <f>'[2]Изложницы без бурта'!G951</f>
        <v>0</v>
      </c>
      <c r="AJ951" s="56">
        <f>'[2]Изложницы без бурта'!H951</f>
        <v>0</v>
      </c>
      <c r="AK951" s="56">
        <f>'[2]Изложницы без бурта'!I951</f>
        <v>0</v>
      </c>
      <c r="AL951" s="56" t="s">
        <v>666</v>
      </c>
      <c r="AM951" s="56">
        <f>'[2]Изложницы без бурта'!K951</f>
        <v>0</v>
      </c>
    </row>
    <row r="952" spans="28:39" x14ac:dyDescent="0.25">
      <c r="AB952" s="253" t="str">
        <f t="shared" si="30"/>
        <v/>
      </c>
      <c r="AC952" s="254" t="str">
        <f>IF(COUNTIF(AD$78:AD952,AD952)=1,MAX(AC$78:AC951)+1,"")</f>
        <v/>
      </c>
      <c r="AD952" s="215">
        <f>'[2]Изложницы без бурта'!B952</f>
        <v>320</v>
      </c>
      <c r="AE952" s="215">
        <f>'[2]Изложницы без бурта'!C952</f>
        <v>257</v>
      </c>
      <c r="AF952" s="56">
        <f>'[2]Изложницы без бурта'!D952</f>
        <v>360</v>
      </c>
      <c r="AG952" s="56">
        <f>'[2]Изложницы без бурта'!E952</f>
        <v>450</v>
      </c>
      <c r="AH952" s="56" t="str">
        <f>'[2]Изложницы без бурта'!F952</f>
        <v>72.11872 - 40</v>
      </c>
      <c r="AI952" s="56">
        <f>'[2]Изложницы без бурта'!G952</f>
        <v>0</v>
      </c>
      <c r="AJ952" s="56">
        <f>'[2]Изложницы без бурта'!H952</f>
        <v>0</v>
      </c>
      <c r="AK952" s="56">
        <f>'[2]Изложницы без бурта'!I952</f>
        <v>0</v>
      </c>
      <c r="AL952" s="56" t="s">
        <v>666</v>
      </c>
      <c r="AM952" s="56">
        <f>'[2]Изложницы без бурта'!K952</f>
        <v>0</v>
      </c>
    </row>
    <row r="953" spans="28:39" x14ac:dyDescent="0.25">
      <c r="AB953" s="253" t="str">
        <f t="shared" ref="AB953:AB1016" si="31">IF(MAX(AC953:AC2030)&lt;ROW(875:875),"",VLOOKUP(ROW(875:875),AC953:AD2030,2))</f>
        <v/>
      </c>
      <c r="AC953" s="254" t="str">
        <f>IF(COUNTIF(AD$78:AD953,AD953)=1,MAX(AC$78:AC952)+1,"")</f>
        <v/>
      </c>
      <c r="AD953" s="215">
        <f>'[2]Изложницы без бурта'!B953</f>
        <v>320</v>
      </c>
      <c r="AE953" s="215">
        <f>'[2]Изложницы без бурта'!C953</f>
        <v>260</v>
      </c>
      <c r="AF953" s="56">
        <f>'[2]Изложницы без бурта'!D953</f>
        <v>360</v>
      </c>
      <c r="AG953" s="56">
        <f>'[2]Изложницы без бурта'!E953</f>
        <v>450</v>
      </c>
      <c r="AH953" s="56" t="str">
        <f>'[2]Изложницы без бурта'!F953</f>
        <v>72.11872 - 40</v>
      </c>
      <c r="AI953" s="56">
        <f>'[2]Изложницы без бурта'!G953</f>
        <v>0</v>
      </c>
      <c r="AJ953" s="56">
        <f>'[2]Изложницы без бурта'!H953</f>
        <v>0</v>
      </c>
      <c r="AK953" s="56">
        <f>'[2]Изложницы без бурта'!I953</f>
        <v>0</v>
      </c>
      <c r="AL953" s="56" t="s">
        <v>666</v>
      </c>
      <c r="AM953" s="56">
        <f>'[2]Изложницы без бурта'!K953</f>
        <v>0</v>
      </c>
    </row>
    <row r="954" spans="28:39" x14ac:dyDescent="0.25">
      <c r="AB954" s="253" t="str">
        <f t="shared" si="31"/>
        <v/>
      </c>
      <c r="AC954" s="254" t="str">
        <f>IF(COUNTIF(AD$78:AD954,AD954)=1,MAX(AC$78:AC953)+1,"")</f>
        <v/>
      </c>
      <c r="AD954" s="215">
        <f>'[2]Изложницы без бурта'!B954</f>
        <v>320</v>
      </c>
      <c r="AE954" s="215">
        <f>'[2]Изложницы без бурта'!C954</f>
        <v>467</v>
      </c>
      <c r="AF954" s="56">
        <f>'[2]Изложницы без бурта'!D954</f>
        <v>400</v>
      </c>
      <c r="AG954" s="56">
        <f>'[2]Изложницы без бурта'!E954</f>
        <v>400</v>
      </c>
      <c r="AH954" s="56" t="str">
        <f>'[2]Изложницы без бурта'!F954</f>
        <v>72.48005 - 8</v>
      </c>
      <c r="AI954" s="56">
        <f>'[2]Изложницы без бурта'!G954</f>
        <v>0</v>
      </c>
      <c r="AJ954" s="56">
        <f>'[2]Изложницы без бурта'!H954</f>
        <v>0</v>
      </c>
      <c r="AK954" s="56">
        <f>'[2]Изложницы без бурта'!I954</f>
        <v>0</v>
      </c>
      <c r="AL954" s="56" t="s">
        <v>666</v>
      </c>
      <c r="AM954" s="56">
        <f>'[2]Изложницы без бурта'!K954</f>
        <v>0</v>
      </c>
    </row>
    <row r="955" spans="28:39" x14ac:dyDescent="0.25">
      <c r="AB955" s="253" t="str">
        <f t="shared" si="31"/>
        <v/>
      </c>
      <c r="AC955" s="254" t="str">
        <f>IF(COUNTIF(AD$78:AD955,AD955)=1,MAX(AC$78:AC954)+1,"")</f>
        <v/>
      </c>
      <c r="AD955" s="215">
        <f>'[2]Изложницы без бурта'!B955</f>
        <v>320</v>
      </c>
      <c r="AE955" s="215">
        <f>'[2]Изложницы без бурта'!C955</f>
        <v>265</v>
      </c>
      <c r="AF955" s="56">
        <f>'[2]Изложницы без бурта'!D955</f>
        <v>415</v>
      </c>
      <c r="AG955" s="56">
        <f>'[2]Изложницы без бурта'!E955</f>
        <v>450</v>
      </c>
      <c r="AH955" s="56" t="str">
        <f>'[2]Изложницы без бурта'!F955</f>
        <v>72.11872 - 40</v>
      </c>
      <c r="AI955" s="56">
        <f>'[2]Изложницы без бурта'!G955</f>
        <v>0</v>
      </c>
      <c r="AJ955" s="56">
        <f>'[2]Изложницы без бурта'!H955</f>
        <v>0</v>
      </c>
      <c r="AK955" s="56">
        <f>'[2]Изложницы без бурта'!I955</f>
        <v>0</v>
      </c>
      <c r="AL955" s="56" t="s">
        <v>666</v>
      </c>
      <c r="AM955" s="56">
        <f>'[2]Изложницы без бурта'!K955</f>
        <v>0</v>
      </c>
    </row>
    <row r="956" spans="28:39" x14ac:dyDescent="0.25">
      <c r="AB956" s="253" t="str">
        <f t="shared" si="31"/>
        <v/>
      </c>
      <c r="AC956" s="254" t="str">
        <f>IF(COUNTIF(AD$78:AD956,AD956)=1,MAX(AC$78:AC955)+1,"")</f>
        <v/>
      </c>
      <c r="AD956" s="215">
        <f>'[2]Изложницы без бурта'!B956</f>
        <v>320</v>
      </c>
      <c r="AE956" s="215">
        <f>'[2]Изложницы без бурта'!C956</f>
        <v>257</v>
      </c>
      <c r="AF956" s="56">
        <f>'[2]Изложницы без бурта'!D956</f>
        <v>360</v>
      </c>
      <c r="AG956" s="56">
        <f>'[2]Изложницы без бурта'!E956</f>
        <v>450</v>
      </c>
      <c r="AH956" s="56" t="str">
        <f>'[2]Изложницы без бурта'!F956</f>
        <v>72.11872 - 40</v>
      </c>
      <c r="AI956" s="56">
        <f>'[2]Изложницы без бурта'!G956</f>
        <v>0</v>
      </c>
      <c r="AJ956" s="56">
        <f>'[2]Изложницы без бурта'!H956</f>
        <v>0</v>
      </c>
      <c r="AK956" s="56">
        <f>'[2]Изложницы без бурта'!I956</f>
        <v>0</v>
      </c>
      <c r="AL956" s="56" t="s">
        <v>666</v>
      </c>
      <c r="AM956" s="56">
        <f>'[2]Изложницы без бурта'!K956</f>
        <v>0</v>
      </c>
    </row>
    <row r="957" spans="28:39" x14ac:dyDescent="0.25">
      <c r="AB957" s="253" t="str">
        <f t="shared" si="31"/>
        <v/>
      </c>
      <c r="AC957" s="254">
        <f>IF(COUNTIF(AD$78:AD957,AD957)=1,MAX(AC$78:AC956)+1,"")</f>
        <v>93</v>
      </c>
      <c r="AD957" s="215">
        <f>'[2]Изложницы без бурта'!B957</f>
        <v>322.5</v>
      </c>
      <c r="AE957" s="215">
        <f>'[2]Изложницы без бурта'!C957</f>
        <v>265</v>
      </c>
      <c r="AF957" s="56">
        <f>'[2]Изложницы без бурта'!D957</f>
        <v>415</v>
      </c>
      <c r="AG957" s="56">
        <f>'[2]Изложницы без бурта'!E957</f>
        <v>450</v>
      </c>
      <c r="AH957" s="56" t="str">
        <f>'[2]Изложницы без бурта'!F957</f>
        <v>72.11872 - 41</v>
      </c>
      <c r="AI957" s="56">
        <f>'[2]Изложницы без бурта'!G957</f>
        <v>0</v>
      </c>
      <c r="AJ957" s="56">
        <f>'[2]Изложницы без бурта'!H957</f>
        <v>0</v>
      </c>
      <c r="AK957" s="56">
        <f>'[2]Изложницы без бурта'!I957</f>
        <v>0</v>
      </c>
      <c r="AL957" s="56" t="s">
        <v>667</v>
      </c>
      <c r="AM957" s="56">
        <f>'[2]Изложницы без бурта'!K957</f>
        <v>0</v>
      </c>
    </row>
    <row r="958" spans="28:39" x14ac:dyDescent="0.25">
      <c r="AB958" s="253" t="str">
        <f t="shared" si="31"/>
        <v/>
      </c>
      <c r="AC958" s="254" t="str">
        <f>IF(COUNTIF(AD$78:AD958,AD958)=1,MAX(AC$78:AC957)+1,"")</f>
        <v/>
      </c>
      <c r="AD958" s="215">
        <f>'[2]Изложницы без бурта'!B958</f>
        <v>322.5</v>
      </c>
      <c r="AE958" s="215">
        <f>'[2]Изложницы без бурта'!C958</f>
        <v>257</v>
      </c>
      <c r="AF958" s="56">
        <f>'[2]Изложницы без бурта'!D958</f>
        <v>360</v>
      </c>
      <c r="AG958" s="56">
        <f>'[2]Изложницы без бурта'!E958</f>
        <v>450</v>
      </c>
      <c r="AH958" s="56" t="str">
        <f>'[2]Изложницы без бурта'!F958</f>
        <v>72.11872 - 41</v>
      </c>
      <c r="AI958" s="56">
        <f>'[2]Изложницы без бурта'!G958</f>
        <v>0</v>
      </c>
      <c r="AJ958" s="56">
        <f>'[2]Изложницы без бурта'!H958</f>
        <v>0</v>
      </c>
      <c r="AK958" s="56">
        <f>'[2]Изложницы без бурта'!I958</f>
        <v>0</v>
      </c>
      <c r="AL958" s="56" t="s">
        <v>667</v>
      </c>
      <c r="AM958" s="56">
        <f>'[2]Изложницы без бурта'!K958</f>
        <v>0</v>
      </c>
    </row>
    <row r="959" spans="28:39" x14ac:dyDescent="0.25">
      <c r="AB959" s="253" t="str">
        <f t="shared" si="31"/>
        <v/>
      </c>
      <c r="AC959" s="254" t="str">
        <f>IF(COUNTIF(AD$78:AD959,AD959)=1,MAX(AC$78:AC958)+1,"")</f>
        <v/>
      </c>
      <c r="AD959" s="215">
        <f>'[2]Изложницы без бурта'!B959</f>
        <v>322.5</v>
      </c>
      <c r="AE959" s="215">
        <f>'[2]Изложницы без бурта'!C959</f>
        <v>375</v>
      </c>
      <c r="AF959" s="56">
        <f>'[2]Изложницы без бурта'!D959</f>
        <v>360</v>
      </c>
      <c r="AG959" s="56">
        <f>'[2]Изложницы без бурта'!E959</f>
        <v>450</v>
      </c>
      <c r="AH959" s="56" t="str">
        <f>'[2]Изложницы без бурта'!F959</f>
        <v>72.18376 - 1</v>
      </c>
      <c r="AI959" s="56">
        <f>'[2]Изложницы без бурта'!G959</f>
        <v>7260058</v>
      </c>
      <c r="AJ959" s="56">
        <f>'[2]Изложницы без бурта'!H959</f>
        <v>0</v>
      </c>
      <c r="AK959" s="56">
        <f>'[2]Изложницы без бурта'!I959</f>
        <v>0</v>
      </c>
      <c r="AL959" s="56" t="s">
        <v>667</v>
      </c>
      <c r="AM959" s="56">
        <f>'[2]Изложницы без бурта'!K959</f>
        <v>0</v>
      </c>
    </row>
    <row r="960" spans="28:39" x14ac:dyDescent="0.25">
      <c r="AB960" s="253" t="str">
        <f t="shared" si="31"/>
        <v/>
      </c>
      <c r="AC960" s="254" t="str">
        <f>IF(COUNTIF(AD$78:AD960,AD960)=1,MAX(AC$78:AC959)+1,"")</f>
        <v/>
      </c>
      <c r="AD960" s="215">
        <f>'[2]Изложницы без бурта'!B960</f>
        <v>322.5</v>
      </c>
      <c r="AE960" s="215">
        <f>'[2]Изложницы без бурта'!C960</f>
        <v>378</v>
      </c>
      <c r="AF960" s="56">
        <f>'[2]Изложницы без бурта'!D960</f>
        <v>360</v>
      </c>
      <c r="AG960" s="56">
        <f>'[2]Изложницы без бурта'!E960</f>
        <v>450</v>
      </c>
      <c r="AH960" s="56" t="str">
        <f>'[2]Изложницы без бурта'!F960</f>
        <v>72.18376 - 1</v>
      </c>
      <c r="AI960" s="56">
        <f>'[2]Изложницы без бурта'!G960</f>
        <v>7260058</v>
      </c>
      <c r="AJ960" s="56">
        <f>'[2]Изложницы без бурта'!H960</f>
        <v>0</v>
      </c>
      <c r="AK960" s="56">
        <f>'[2]Изложницы без бурта'!I960</f>
        <v>0</v>
      </c>
      <c r="AL960" s="56" t="s">
        <v>667</v>
      </c>
      <c r="AM960" s="56">
        <f>'[2]Изложницы без бурта'!K960</f>
        <v>0</v>
      </c>
    </row>
    <row r="961" spans="28:39" x14ac:dyDescent="0.25">
      <c r="AB961" s="253" t="str">
        <f t="shared" si="31"/>
        <v/>
      </c>
      <c r="AC961" s="254" t="str">
        <f>IF(COUNTIF(AD$78:AD961,AD961)=1,MAX(AC$78:AC960)+1,"")</f>
        <v/>
      </c>
      <c r="AD961" s="215">
        <f>'[2]Изложницы без бурта'!B961</f>
        <v>322.5</v>
      </c>
      <c r="AE961" s="215">
        <f>'[2]Изложницы без бурта'!C961</f>
        <v>260</v>
      </c>
      <c r="AF961" s="56">
        <f>'[2]Изложницы без бурта'!D961</f>
        <v>415</v>
      </c>
      <c r="AG961" s="56">
        <f>'[2]Изложницы без бурта'!E961</f>
        <v>450</v>
      </c>
      <c r="AH961" s="56" t="str">
        <f>'[2]Изложницы без бурта'!F961</f>
        <v>72.11872 - 41</v>
      </c>
      <c r="AI961" s="56">
        <f>'[2]Изложницы без бурта'!G961</f>
        <v>0</v>
      </c>
      <c r="AJ961" s="56">
        <f>'[2]Изложницы без бурта'!H961</f>
        <v>0</v>
      </c>
      <c r="AK961" s="56">
        <f>'[2]Изложницы без бурта'!I961</f>
        <v>0</v>
      </c>
      <c r="AL961" s="56" t="s">
        <v>667</v>
      </c>
      <c r="AM961" s="56">
        <f>'[2]Изложницы без бурта'!K961</f>
        <v>0</v>
      </c>
    </row>
    <row r="962" spans="28:39" x14ac:dyDescent="0.25">
      <c r="AB962" s="253" t="str">
        <f t="shared" si="31"/>
        <v/>
      </c>
      <c r="AC962" s="254">
        <f>IF(COUNTIF(AD$78:AD962,AD962)=1,MAX(AC$78:AC961)+1,"")</f>
        <v>94</v>
      </c>
      <c r="AD962" s="215">
        <f>'[2]Изложницы без бурта'!B962</f>
        <v>325</v>
      </c>
      <c r="AE962" s="215">
        <f>'[2]Изложницы без бурта'!C962</f>
        <v>235</v>
      </c>
      <c r="AF962" s="56">
        <f>'[2]Изложницы без бурта'!D962</f>
        <v>415</v>
      </c>
      <c r="AG962" s="56">
        <f>'[2]Изложницы без бурта'!E962</f>
        <v>450</v>
      </c>
      <c r="AH962" s="56" t="str">
        <f>'[2]Изложницы без бурта'!F962</f>
        <v>72.48674 - 1</v>
      </c>
      <c r="AI962" s="56">
        <f>'[2]Изложницы без бурта'!G962</f>
        <v>0</v>
      </c>
      <c r="AJ962" s="56">
        <f>'[2]Изложницы без бурта'!H962</f>
        <v>0</v>
      </c>
      <c r="AK962" s="56">
        <f>'[2]Изложницы без бурта'!I962</f>
        <v>0</v>
      </c>
      <c r="AL962" s="56" t="s">
        <v>668</v>
      </c>
      <c r="AM962" s="56">
        <f>'[2]Изложницы без бурта'!K962</f>
        <v>0</v>
      </c>
    </row>
    <row r="963" spans="28:39" x14ac:dyDescent="0.25">
      <c r="AB963" s="253" t="str">
        <f t="shared" si="31"/>
        <v/>
      </c>
      <c r="AC963" s="254" t="str">
        <f>IF(COUNTIF(AD$78:AD963,AD963)=1,MAX(AC$78:AC962)+1,"")</f>
        <v/>
      </c>
      <c r="AD963" s="215">
        <f>'[2]Изложницы без бурта'!B963</f>
        <v>325</v>
      </c>
      <c r="AE963" s="215">
        <f>'[2]Изложницы без бурта'!C963</f>
        <v>400</v>
      </c>
      <c r="AF963" s="56">
        <f>'[2]Изложницы без бурта'!D963</f>
        <v>415</v>
      </c>
      <c r="AG963" s="56">
        <f>'[2]Изложницы без бурта'!E963</f>
        <v>400</v>
      </c>
      <c r="AH963" s="56" t="str">
        <f>'[2]Изложницы без бурта'!F963</f>
        <v>72.18376 - 10</v>
      </c>
      <c r="AI963" s="56">
        <f>'[2]Изложницы без бурта'!G963</f>
        <v>0</v>
      </c>
      <c r="AJ963" s="56">
        <f>'[2]Изложницы без бурта'!H963</f>
        <v>0</v>
      </c>
      <c r="AK963" s="56">
        <f>'[2]Изложницы без бурта'!I963</f>
        <v>0</v>
      </c>
      <c r="AL963" s="56" t="s">
        <v>668</v>
      </c>
      <c r="AM963" s="56">
        <f>'[2]Изложницы без бурта'!K963</f>
        <v>0</v>
      </c>
    </row>
    <row r="964" spans="28:39" x14ac:dyDescent="0.25">
      <c r="AB964" s="253" t="str">
        <f t="shared" si="31"/>
        <v/>
      </c>
      <c r="AC964" s="254" t="str">
        <f>IF(COUNTIF(AD$78:AD964,AD964)=1,MAX(AC$78:AC963)+1,"")</f>
        <v/>
      </c>
      <c r="AD964" s="215">
        <f>'[2]Изложницы без бурта'!B964</f>
        <v>325</v>
      </c>
      <c r="AE964" s="215">
        <f>'[2]Изложницы без бурта'!C964</f>
        <v>260</v>
      </c>
      <c r="AF964" s="56">
        <f>'[2]Изложницы без бурта'!D964</f>
        <v>360</v>
      </c>
      <c r="AG964" s="56">
        <f>'[2]Изложницы без бурта'!E964</f>
        <v>450</v>
      </c>
      <c r="AH964" s="56" t="str">
        <f>'[2]Изложницы без бурта'!F964</f>
        <v>72.11872 - 42</v>
      </c>
      <c r="AI964" s="56">
        <f>'[2]Изложницы без бурта'!G964</f>
        <v>0</v>
      </c>
      <c r="AJ964" s="56">
        <f>'[2]Изложницы без бурта'!H964</f>
        <v>0</v>
      </c>
      <c r="AK964" s="56">
        <f>'[2]Изложницы без бурта'!I964</f>
        <v>0</v>
      </c>
      <c r="AL964" s="56" t="s">
        <v>668</v>
      </c>
      <c r="AM964" s="56">
        <f>'[2]Изложницы без бурта'!K964</f>
        <v>0</v>
      </c>
    </row>
    <row r="965" spans="28:39" x14ac:dyDescent="0.25">
      <c r="AB965" s="253" t="str">
        <f t="shared" si="31"/>
        <v/>
      </c>
      <c r="AC965" s="254" t="str">
        <f>IF(COUNTIF(AD$78:AD965,AD965)=1,MAX(AC$78:AC964)+1,"")</f>
        <v/>
      </c>
      <c r="AD965" s="215">
        <f>'[2]Изложницы без бурта'!B965</f>
        <v>325</v>
      </c>
      <c r="AE965" s="215">
        <f>'[2]Изложницы без бурта'!C965</f>
        <v>360</v>
      </c>
      <c r="AF965" s="56">
        <f>'[2]Изложницы без бурта'!D965</f>
        <v>360</v>
      </c>
      <c r="AG965" s="56">
        <f>'[2]Изложницы без бурта'!E965</f>
        <v>450</v>
      </c>
      <c r="AH965" s="56" t="str">
        <f>'[2]Изложницы без бурта'!F965</f>
        <v>72.18376 - 10</v>
      </c>
      <c r="AI965" s="56">
        <f>'[2]Изложницы без бурта'!G965</f>
        <v>0</v>
      </c>
      <c r="AJ965" s="56">
        <f>'[2]Изложницы без бурта'!H965</f>
        <v>0</v>
      </c>
      <c r="AK965" s="56">
        <f>'[2]Изложницы без бурта'!I965</f>
        <v>0</v>
      </c>
      <c r="AL965" s="56" t="s">
        <v>668</v>
      </c>
      <c r="AM965" s="56">
        <f>'[2]Изложницы без бурта'!K965</f>
        <v>0</v>
      </c>
    </row>
    <row r="966" spans="28:39" x14ac:dyDescent="0.25">
      <c r="AB966" s="253" t="str">
        <f t="shared" si="31"/>
        <v/>
      </c>
      <c r="AC966" s="254">
        <f>IF(COUNTIF(AD$78:AD966,AD966)=1,MAX(AC$78:AC965)+1,"")</f>
        <v>95</v>
      </c>
      <c r="AD966" s="215">
        <f>'[2]Изложницы без бурта'!B966</f>
        <v>327.5</v>
      </c>
      <c r="AE966" s="215">
        <f>'[2]Изложницы без бурта'!C966</f>
        <v>375</v>
      </c>
      <c r="AF966" s="56">
        <f>'[2]Изложницы без бурта'!D966</f>
        <v>360</v>
      </c>
      <c r="AG966" s="56">
        <f>'[2]Изложницы без бурта'!E966</f>
        <v>450</v>
      </c>
      <c r="AH966" s="56" t="str">
        <f>'[2]Изложницы без бурта'!F966</f>
        <v>72.18376 - 3</v>
      </c>
      <c r="AI966" s="56">
        <f>'[2]Изложницы без бурта'!G966</f>
        <v>7260059</v>
      </c>
      <c r="AJ966" s="56">
        <f>'[2]Изложницы без бурта'!H966</f>
        <v>0</v>
      </c>
      <c r="AK966" s="56">
        <f>'[2]Изложницы без бурта'!I966</f>
        <v>0</v>
      </c>
      <c r="AL966" s="56" t="s">
        <v>669</v>
      </c>
      <c r="AM966" s="56">
        <f>'[2]Изложницы без бурта'!K966</f>
        <v>0</v>
      </c>
    </row>
    <row r="967" spans="28:39" x14ac:dyDescent="0.25">
      <c r="AB967" s="253" t="str">
        <f t="shared" si="31"/>
        <v/>
      </c>
      <c r="AC967" s="254">
        <f>IF(COUNTIF(AD$78:AD967,AD967)=1,MAX(AC$78:AC966)+1,"")</f>
        <v>96</v>
      </c>
      <c r="AD967" s="215">
        <f>'[2]Изложницы без бурта'!B967</f>
        <v>330</v>
      </c>
      <c r="AE967" s="215">
        <f>'[2]Изложницы без бурта'!C967</f>
        <v>385</v>
      </c>
      <c r="AF967" s="56">
        <f>'[2]Изложницы без бурта'!D967</f>
        <v>375</v>
      </c>
      <c r="AG967" s="56">
        <f>'[2]Изложницы без бурта'!E967</f>
        <v>450</v>
      </c>
      <c r="AH967" s="56" t="str">
        <f>'[2]Изложницы без бурта'!F967</f>
        <v>72.18376 - 4</v>
      </c>
      <c r="AI967" s="56">
        <f>'[2]Изложницы без бурта'!G967</f>
        <v>7260060</v>
      </c>
      <c r="AJ967" s="56">
        <f>'[2]Изложницы без бурта'!H967</f>
        <v>0</v>
      </c>
      <c r="AK967" s="56">
        <f>'[2]Изложницы без бурта'!I967</f>
        <v>0</v>
      </c>
      <c r="AL967" s="56" t="s">
        <v>670</v>
      </c>
      <c r="AM967" s="56">
        <f>'[2]Изложницы без бурта'!K967</f>
        <v>0</v>
      </c>
    </row>
    <row r="968" spans="28:39" x14ac:dyDescent="0.25">
      <c r="AB968" s="253" t="str">
        <f t="shared" si="31"/>
        <v/>
      </c>
      <c r="AC968" s="254" t="str">
        <f>IF(COUNTIF(AD$78:AD968,AD968)=1,MAX(AC$78:AC967)+1,"")</f>
        <v/>
      </c>
      <c r="AD968" s="215">
        <f>'[2]Изложницы без бурта'!B968</f>
        <v>330</v>
      </c>
      <c r="AE968" s="215">
        <f>'[2]Изложницы без бурта'!C968</f>
        <v>400</v>
      </c>
      <c r="AF968" s="56">
        <f>'[2]Изложницы без бурта'!D968</f>
        <v>415</v>
      </c>
      <c r="AG968" s="56">
        <f>'[2]Изложницы без бурта'!E968</f>
        <v>400</v>
      </c>
      <c r="AH968" s="56" t="str">
        <f>'[2]Изложницы без бурта'!F968</f>
        <v>72.18376 - 14</v>
      </c>
      <c r="AI968" s="56">
        <f>'[2]Изложницы без бурта'!G968</f>
        <v>0</v>
      </c>
      <c r="AJ968" s="56">
        <f>'[2]Изложницы без бурта'!H968</f>
        <v>0</v>
      </c>
      <c r="AK968" s="56">
        <f>'[2]Изложницы без бурта'!I968</f>
        <v>0</v>
      </c>
      <c r="AL968" s="56" t="s">
        <v>670</v>
      </c>
      <c r="AM968" s="56">
        <f>'[2]Изложницы без бурта'!K968</f>
        <v>0</v>
      </c>
    </row>
    <row r="969" spans="28:39" x14ac:dyDescent="0.25">
      <c r="AB969" s="253" t="str">
        <f t="shared" si="31"/>
        <v/>
      </c>
      <c r="AC969" s="254" t="str">
        <f>IF(COUNTIF(AD$78:AD969,AD969)=1,MAX(AC$78:AC968)+1,"")</f>
        <v/>
      </c>
      <c r="AD969" s="215">
        <f>'[2]Изложницы без бурта'!B969</f>
        <v>330</v>
      </c>
      <c r="AE969" s="215">
        <f>'[2]Изложницы без бурта'!C969</f>
        <v>495</v>
      </c>
      <c r="AF969" s="56">
        <f>'[2]Изложницы без бурта'!D969</f>
        <v>450</v>
      </c>
      <c r="AG969" s="56">
        <f>'[2]Изложницы без бурта'!E969</f>
        <v>400</v>
      </c>
      <c r="AH969" s="56" t="str">
        <f>'[2]Изложницы без бурта'!F969</f>
        <v>10.264624 - 4</v>
      </c>
      <c r="AI969" s="56">
        <f>'[2]Изложницы без бурта'!G969</f>
        <v>7260061</v>
      </c>
      <c r="AJ969" s="56">
        <f>'[2]Изложницы без бурта'!H969</f>
        <v>0</v>
      </c>
      <c r="AK969" s="56">
        <f>'[2]Изложницы без бурта'!I969</f>
        <v>0</v>
      </c>
      <c r="AL969" s="56" t="s">
        <v>670</v>
      </c>
      <c r="AM969" s="56">
        <f>'[2]Изложницы без бурта'!K969</f>
        <v>0</v>
      </c>
    </row>
    <row r="970" spans="28:39" x14ac:dyDescent="0.25">
      <c r="AB970" s="253" t="str">
        <f t="shared" si="31"/>
        <v/>
      </c>
      <c r="AC970" s="254" t="str">
        <f>IF(COUNTIF(AD$78:AD970,AD970)=1,MAX(AC$78:AC969)+1,"")</f>
        <v/>
      </c>
      <c r="AD970" s="215">
        <f>'[2]Изложницы без бурта'!B970</f>
        <v>330</v>
      </c>
      <c r="AE970" s="215">
        <f>'[2]Изложницы без бурта'!C970</f>
        <v>525</v>
      </c>
      <c r="AF970" s="56">
        <f>'[2]Изложницы без бурта'!D970</f>
        <v>415</v>
      </c>
      <c r="AG970" s="56">
        <f>'[2]Изложницы без бурта'!E970</f>
        <v>400</v>
      </c>
      <c r="AH970" s="56" t="str">
        <f>'[2]Изложницы без бурта'!F970</f>
        <v>10.249496 - 3</v>
      </c>
      <c r="AI970" s="56">
        <f>'[2]Изложницы без бурта'!G970</f>
        <v>0</v>
      </c>
      <c r="AJ970" s="56" t="str">
        <f>'[2]Изложницы без бурта'!H970</f>
        <v xml:space="preserve">Переточен с  Ø320 </v>
      </c>
      <c r="AK970" s="56">
        <f>'[2]Изложницы без бурта'!I970</f>
        <v>0</v>
      </c>
      <c r="AL970" s="56" t="s">
        <v>670</v>
      </c>
      <c r="AM970" s="56">
        <f>'[2]Изложницы без бурта'!K970</f>
        <v>0</v>
      </c>
    </row>
    <row r="971" spans="28:39" x14ac:dyDescent="0.25">
      <c r="AB971" s="253" t="str">
        <f t="shared" si="31"/>
        <v/>
      </c>
      <c r="AC971" s="254">
        <f>IF(COUNTIF(AD$78:AD971,AD971)=1,MAX(AC$78:AC970)+1,"")</f>
        <v>97</v>
      </c>
      <c r="AD971" s="215">
        <f>'[2]Изложницы без бурта'!B971</f>
        <v>332.5</v>
      </c>
      <c r="AE971" s="215">
        <f>'[2]Изложницы без бурта'!C971</f>
        <v>395</v>
      </c>
      <c r="AF971" s="56">
        <f>'[2]Изложницы без бурта'!D971</f>
        <v>415</v>
      </c>
      <c r="AG971" s="56">
        <f>'[2]Изложницы без бурта'!E971</f>
        <v>400</v>
      </c>
      <c r="AH971" s="56" t="str">
        <f>'[2]Изложницы без бурта'!F971</f>
        <v>72.18376 - 15</v>
      </c>
      <c r="AI971" s="56">
        <f>'[2]Изложницы без бурта'!G971</f>
        <v>7260062</v>
      </c>
      <c r="AJ971" s="56">
        <f>'[2]Изложницы без бурта'!H971</f>
        <v>0</v>
      </c>
      <c r="AK971" s="56">
        <f>'[2]Изложницы без бурта'!I971</f>
        <v>0</v>
      </c>
      <c r="AL971" s="56" t="s">
        <v>671</v>
      </c>
      <c r="AM971" s="56">
        <f>'[2]Изложницы без бурта'!K971</f>
        <v>0</v>
      </c>
    </row>
    <row r="972" spans="28:39" x14ac:dyDescent="0.25">
      <c r="AB972" s="253" t="str">
        <f t="shared" si="31"/>
        <v/>
      </c>
      <c r="AC972" s="254" t="str">
        <f>IF(COUNTIF(AD$78:AD972,AD972)=1,MAX(AC$78:AC971)+1,"")</f>
        <v/>
      </c>
      <c r="AD972" s="215">
        <f>'[2]Изложницы без бурта'!B972</f>
        <v>332.5</v>
      </c>
      <c r="AE972" s="215">
        <f>'[2]Изложницы без бурта'!C972</f>
        <v>215</v>
      </c>
      <c r="AF972" s="56">
        <f>'[2]Изложницы без бурта'!D972</f>
        <v>415</v>
      </c>
      <c r="AG972" s="56">
        <f>'[2]Изложницы без бурта'!E972</f>
        <v>450</v>
      </c>
      <c r="AH972" s="56" t="str">
        <f>'[2]Изложницы без бурта'!F972</f>
        <v>10.246214 - 5</v>
      </c>
      <c r="AI972" s="56">
        <f>'[2]Изложницы без бурта'!G972</f>
        <v>7260063</v>
      </c>
      <c r="AJ972" s="56">
        <f>'[2]Изложницы без бурта'!H972</f>
        <v>0</v>
      </c>
      <c r="AK972" s="56">
        <f>'[2]Изложницы без бурта'!I972</f>
        <v>0</v>
      </c>
      <c r="AL972" s="56" t="s">
        <v>671</v>
      </c>
      <c r="AM972" s="56">
        <f>'[2]Изложницы без бурта'!K972</f>
        <v>0</v>
      </c>
    </row>
    <row r="973" spans="28:39" x14ac:dyDescent="0.25">
      <c r="AB973" s="253" t="str">
        <f t="shared" si="31"/>
        <v/>
      </c>
      <c r="AC973" s="254" t="str">
        <f>IF(COUNTIF(AD$78:AD973,AD973)=1,MAX(AC$78:AC972)+1,"")</f>
        <v/>
      </c>
      <c r="AD973" s="215">
        <f>'[2]Изложницы без бурта'!B973</f>
        <v>332.5</v>
      </c>
      <c r="AE973" s="215">
        <f>'[2]Изложницы без бурта'!C973</f>
        <v>395</v>
      </c>
      <c r="AF973" s="56">
        <f>'[2]Изложницы без бурта'!D973</f>
        <v>415</v>
      </c>
      <c r="AG973" s="56">
        <f>'[2]Изложницы без бурта'!E973</f>
        <v>400</v>
      </c>
      <c r="AH973" s="56" t="str">
        <f>'[2]Изложницы без бурта'!F973</f>
        <v>72.18376 - 15</v>
      </c>
      <c r="AI973" s="56">
        <f>'[2]Изложницы без бурта'!G973</f>
        <v>7260062</v>
      </c>
      <c r="AJ973" s="56">
        <f>'[2]Изложницы без бурта'!H973</f>
        <v>0</v>
      </c>
      <c r="AK973" s="56">
        <f>'[2]Изложницы без бурта'!I973</f>
        <v>0</v>
      </c>
      <c r="AL973" s="56" t="s">
        <v>671</v>
      </c>
      <c r="AM973" s="56">
        <f>'[2]Изложницы без бурта'!K973</f>
        <v>0</v>
      </c>
    </row>
    <row r="974" spans="28:39" x14ac:dyDescent="0.25">
      <c r="AB974" s="253" t="str">
        <f t="shared" si="31"/>
        <v/>
      </c>
      <c r="AC974" s="254">
        <f>IF(COUNTIF(AD$78:AD974,AD974)=1,MAX(AC$78:AC973)+1,"")</f>
        <v>98</v>
      </c>
      <c r="AD974" s="215">
        <f>'[2]Изложницы без бурта'!B974</f>
        <v>335</v>
      </c>
      <c r="AE974" s="215">
        <f>'[2]Изложницы без бурта'!C974</f>
        <v>210</v>
      </c>
      <c r="AF974" s="56">
        <f>'[2]Изложницы без бурта'!D974</f>
        <v>415</v>
      </c>
      <c r="AG974" s="56">
        <f>'[2]Изложницы без бурта'!E974</f>
        <v>450</v>
      </c>
      <c r="AH974" s="56" t="str">
        <f>'[2]Изложницы без бурта'!F974</f>
        <v>10.246214 - 6</v>
      </c>
      <c r="AI974" s="56">
        <f>'[2]Изложницы без бурта'!G974</f>
        <v>0</v>
      </c>
      <c r="AJ974" s="56">
        <f>'[2]Изложницы без бурта'!H974</f>
        <v>0</v>
      </c>
      <c r="AK974" s="56">
        <f>'[2]Изложницы без бурта'!I974</f>
        <v>0</v>
      </c>
      <c r="AL974" s="56" t="s">
        <v>672</v>
      </c>
      <c r="AM974" s="56">
        <f>'[2]Изложницы без бурта'!K974</f>
        <v>0</v>
      </c>
    </row>
    <row r="975" spans="28:39" x14ac:dyDescent="0.25">
      <c r="AB975" s="253" t="str">
        <f t="shared" si="31"/>
        <v/>
      </c>
      <c r="AC975" s="254" t="str">
        <f>IF(COUNTIF(AD$78:AD975,AD975)=1,MAX(AC$78:AC974)+1,"")</f>
        <v/>
      </c>
      <c r="AD975" s="215">
        <f>'[2]Изложницы без бурта'!B975</f>
        <v>335</v>
      </c>
      <c r="AE975" s="215">
        <f>'[2]Изложницы без бурта'!C975</f>
        <v>210</v>
      </c>
      <c r="AF975" s="56">
        <f>'[2]Изложницы без бурта'!D975</f>
        <v>415</v>
      </c>
      <c r="AG975" s="56">
        <f>'[2]Изложницы без бурта'!E975</f>
        <v>450</v>
      </c>
      <c r="AH975" s="56" t="str">
        <f>'[2]Изложницы без бурта'!F975</f>
        <v>10.246214 - 6</v>
      </c>
      <c r="AI975" s="56">
        <f>'[2]Изложницы без бурта'!G975</f>
        <v>0</v>
      </c>
      <c r="AJ975" s="56">
        <f>'[2]Изложницы без бурта'!H975</f>
        <v>0</v>
      </c>
      <c r="AK975" s="56">
        <f>'[2]Изложницы без бурта'!I975</f>
        <v>0</v>
      </c>
      <c r="AL975" s="56" t="s">
        <v>672</v>
      </c>
      <c r="AM975" s="56">
        <f>'[2]Изложницы без бурта'!K975</f>
        <v>0</v>
      </c>
    </row>
    <row r="976" spans="28:39" x14ac:dyDescent="0.25">
      <c r="AB976" s="253" t="str">
        <f t="shared" si="31"/>
        <v/>
      </c>
      <c r="AC976" s="254" t="str">
        <f>IF(COUNTIF(AD$78:AD976,AD976)=1,MAX(AC$78:AC975)+1,"")</f>
        <v/>
      </c>
      <c r="AD976" s="215">
        <f>'[2]Изложницы без бурта'!B976</f>
        <v>335</v>
      </c>
      <c r="AE976" s="215">
        <f>'[2]Изложницы без бурта'!C976</f>
        <v>210</v>
      </c>
      <c r="AF976" s="56">
        <f>'[2]Изложницы без бурта'!D976</f>
        <v>415</v>
      </c>
      <c r="AG976" s="56">
        <f>'[2]Изложницы без бурта'!E976</f>
        <v>450</v>
      </c>
      <c r="AH976" s="56" t="str">
        <f>'[2]Изложницы без бурта'!F976</f>
        <v>10.246214 - 6</v>
      </c>
      <c r="AI976" s="56">
        <f>'[2]Изложницы без бурта'!G976</f>
        <v>0</v>
      </c>
      <c r="AJ976" s="56">
        <f>'[2]Изложницы без бурта'!H976</f>
        <v>0</v>
      </c>
      <c r="AK976" s="56">
        <f>'[2]Изложницы без бурта'!I976</f>
        <v>0</v>
      </c>
      <c r="AL976" s="56" t="s">
        <v>672</v>
      </c>
      <c r="AM976" s="56">
        <f>'[2]Изложницы без бурта'!K976</f>
        <v>0</v>
      </c>
    </row>
    <row r="977" spans="28:39" x14ac:dyDescent="0.25">
      <c r="AB977" s="253" t="str">
        <f t="shared" si="31"/>
        <v/>
      </c>
      <c r="AC977" s="254" t="str">
        <f>IF(COUNTIF(AD$78:AD977,AD977)=1,MAX(AC$78:AC976)+1,"")</f>
        <v/>
      </c>
      <c r="AD977" s="215">
        <f>'[2]Изложницы без бурта'!B977</f>
        <v>335</v>
      </c>
      <c r="AE977" s="215">
        <f>'[2]Изложницы без бурта'!C977</f>
        <v>212</v>
      </c>
      <c r="AF977" s="56">
        <f>'[2]Изложницы без бурта'!D977</f>
        <v>415</v>
      </c>
      <c r="AG977" s="56">
        <f>'[2]Изложницы без бурта'!E977</f>
        <v>450</v>
      </c>
      <c r="AH977" s="56" t="str">
        <f>'[2]Изложницы без бурта'!F977</f>
        <v>10.246214 - 6</v>
      </c>
      <c r="AI977" s="56">
        <f>'[2]Изложницы без бурта'!G977</f>
        <v>0</v>
      </c>
      <c r="AJ977" s="56">
        <f>'[2]Изложницы без бурта'!H977</f>
        <v>0</v>
      </c>
      <c r="AK977" s="56">
        <f>'[2]Изложницы без бурта'!I977</f>
        <v>0</v>
      </c>
      <c r="AL977" s="56" t="s">
        <v>672</v>
      </c>
      <c r="AM977" s="56">
        <f>'[2]Изложницы без бурта'!K977</f>
        <v>0</v>
      </c>
    </row>
    <row r="978" spans="28:39" x14ac:dyDescent="0.25">
      <c r="AB978" s="253" t="str">
        <f t="shared" si="31"/>
        <v/>
      </c>
      <c r="AC978" s="254" t="str">
        <f>IF(COUNTIF(AD$78:AD978,AD978)=1,MAX(AC$78:AC977)+1,"")</f>
        <v/>
      </c>
      <c r="AD978" s="215">
        <f>'[2]Изложницы без бурта'!B978</f>
        <v>335</v>
      </c>
      <c r="AE978" s="215">
        <f>'[2]Изложницы без бурта'!C978</f>
        <v>210</v>
      </c>
      <c r="AF978" s="56">
        <f>'[2]Изложницы без бурта'!D978</f>
        <v>360</v>
      </c>
      <c r="AG978" s="56">
        <f>'[2]Изложницы без бурта'!E978</f>
        <v>450</v>
      </c>
      <c r="AH978" s="56" t="str">
        <f>'[2]Изложницы без бурта'!F978</f>
        <v>10.246214 - 6</v>
      </c>
      <c r="AI978" s="56">
        <f>'[2]Изложницы без бурта'!G978</f>
        <v>0</v>
      </c>
      <c r="AJ978" s="56">
        <f>'[2]Изложницы без бурта'!H978</f>
        <v>0</v>
      </c>
      <c r="AK978" s="56">
        <f>'[2]Изложницы без бурта'!I978</f>
        <v>0</v>
      </c>
      <c r="AL978" s="56" t="s">
        <v>672</v>
      </c>
      <c r="AM978" s="56">
        <f>'[2]Изложницы без бурта'!K978</f>
        <v>0</v>
      </c>
    </row>
    <row r="979" spans="28:39" x14ac:dyDescent="0.25">
      <c r="AB979" s="253" t="str">
        <f t="shared" si="31"/>
        <v/>
      </c>
      <c r="AC979" s="254" t="str">
        <f>IF(COUNTIF(AD$78:AD979,AD979)=1,MAX(AC$78:AC978)+1,"")</f>
        <v/>
      </c>
      <c r="AD979" s="215">
        <f>'[2]Изложницы без бурта'!B979</f>
        <v>335</v>
      </c>
      <c r="AE979" s="215">
        <f>'[2]Изложницы без бурта'!C979</f>
        <v>258</v>
      </c>
      <c r="AF979" s="56">
        <f>'[2]Изложницы без бурта'!D979</f>
        <v>360</v>
      </c>
      <c r="AG979" s="56">
        <f>'[2]Изложницы без бурта'!E979</f>
        <v>450</v>
      </c>
      <c r="AH979" s="56" t="str">
        <f>'[2]Изложницы без бурта'!F979</f>
        <v>72.11872 - 46</v>
      </c>
      <c r="AI979" s="56">
        <f>'[2]Изложницы без бурта'!G979</f>
        <v>7260064</v>
      </c>
      <c r="AJ979" s="56">
        <f>'[2]Изложницы без бурта'!H979</f>
        <v>0</v>
      </c>
      <c r="AK979" s="56">
        <f>'[2]Изложницы без бурта'!I979</f>
        <v>0</v>
      </c>
      <c r="AL979" s="56" t="s">
        <v>672</v>
      </c>
      <c r="AM979" s="56">
        <f>'[2]Изложницы без бурта'!K979</f>
        <v>0</v>
      </c>
    </row>
    <row r="980" spans="28:39" x14ac:dyDescent="0.25">
      <c r="AB980" s="253" t="str">
        <f t="shared" si="31"/>
        <v/>
      </c>
      <c r="AC980" s="254" t="str">
        <f>IF(COUNTIF(AD$78:AD980,AD980)=1,MAX(AC$78:AC979)+1,"")</f>
        <v/>
      </c>
      <c r="AD980" s="215">
        <f>'[2]Изложницы без бурта'!B980</f>
        <v>335</v>
      </c>
      <c r="AE980" s="215">
        <f>'[2]Изложницы без бурта'!C980</f>
        <v>255</v>
      </c>
      <c r="AF980" s="56">
        <f>'[2]Изложницы без бурта'!D980</f>
        <v>360</v>
      </c>
      <c r="AG980" s="56">
        <f>'[2]Изложницы без бурта'!E980</f>
        <v>450</v>
      </c>
      <c r="AH980" s="56" t="str">
        <f>'[2]Изложницы без бурта'!F980</f>
        <v>72.11872 - 46</v>
      </c>
      <c r="AI980" s="56">
        <f>'[2]Изложницы без бурта'!G980</f>
        <v>7260064</v>
      </c>
      <c r="AJ980" s="56">
        <f>'[2]Изложницы без бурта'!H980</f>
        <v>0</v>
      </c>
      <c r="AK980" s="56">
        <f>'[2]Изложницы без бурта'!I980</f>
        <v>0</v>
      </c>
      <c r="AL980" s="56" t="s">
        <v>672</v>
      </c>
      <c r="AM980" s="56">
        <f>'[2]Изложницы без бурта'!K980</f>
        <v>0</v>
      </c>
    </row>
    <row r="981" spans="28:39" x14ac:dyDescent="0.25">
      <c r="AB981" s="253" t="str">
        <f t="shared" si="31"/>
        <v/>
      </c>
      <c r="AC981" s="254">
        <f>IF(COUNTIF(AD$78:AD981,AD981)=1,MAX(AC$78:AC980)+1,"")</f>
        <v>99</v>
      </c>
      <c r="AD981" s="215">
        <f>'[2]Изложницы без бурта'!B981</f>
        <v>337.5</v>
      </c>
      <c r="AE981" s="215">
        <f>'[2]Изложницы без бурта'!C981</f>
        <v>260</v>
      </c>
      <c r="AF981" s="56">
        <f>'[2]Изложницы без бурта'!D981</f>
        <v>375</v>
      </c>
      <c r="AG981" s="56">
        <f>'[2]Изложницы без бурта'!E981</f>
        <v>450</v>
      </c>
      <c r="AH981" s="56" t="str">
        <f>'[2]Изложницы без бурта'!F981</f>
        <v>72.11872 - 47</v>
      </c>
      <c r="AI981" s="56">
        <f>'[2]Изложницы без бурта'!G981</f>
        <v>7260065</v>
      </c>
      <c r="AJ981" s="56">
        <f>'[2]Изложницы без бурта'!H981</f>
        <v>0</v>
      </c>
      <c r="AK981" s="56">
        <f>'[2]Изложницы без бурта'!I981</f>
        <v>0</v>
      </c>
      <c r="AL981" s="56" t="s">
        <v>673</v>
      </c>
      <c r="AM981" s="56">
        <f>'[2]Изложницы без бурта'!K981</f>
        <v>0</v>
      </c>
    </row>
    <row r="982" spans="28:39" x14ac:dyDescent="0.25">
      <c r="AB982" s="253" t="str">
        <f t="shared" si="31"/>
        <v/>
      </c>
      <c r="AC982" s="254" t="str">
        <f>IF(COUNTIF(AD$78:AD982,AD982)=1,MAX(AC$78:AC981)+1,"")</f>
        <v/>
      </c>
      <c r="AD982" s="215">
        <f>'[2]Изложницы без бурта'!B982</f>
        <v>337.5</v>
      </c>
      <c r="AE982" s="215">
        <f>'[2]Изложницы без бурта'!C982</f>
        <v>260</v>
      </c>
      <c r="AF982" s="56">
        <f>'[2]Изложницы без бурта'!D982</f>
        <v>360</v>
      </c>
      <c r="AG982" s="56">
        <f>'[2]Изложницы без бурта'!E982</f>
        <v>450</v>
      </c>
      <c r="AH982" s="56" t="str">
        <f>'[2]Изложницы без бурта'!F982</f>
        <v>72.11872 - 47</v>
      </c>
      <c r="AI982" s="56">
        <f>'[2]Изложницы без бурта'!G982</f>
        <v>7260065</v>
      </c>
      <c r="AJ982" s="56">
        <f>'[2]Изложницы без бурта'!H982</f>
        <v>0</v>
      </c>
      <c r="AK982" s="56">
        <f>'[2]Изложницы без бурта'!I982</f>
        <v>0</v>
      </c>
      <c r="AL982" s="56" t="s">
        <v>673</v>
      </c>
      <c r="AM982" s="56">
        <f>'[2]Изложницы без бурта'!K982</f>
        <v>0</v>
      </c>
    </row>
    <row r="983" spans="28:39" x14ac:dyDescent="0.25">
      <c r="AB983" s="253" t="str">
        <f t="shared" si="31"/>
        <v/>
      </c>
      <c r="AC983" s="254">
        <f>IF(COUNTIF(AD$78:AD983,AD983)=1,MAX(AC$78:AC982)+1,"")</f>
        <v>100</v>
      </c>
      <c r="AD983" s="215">
        <f>'[2]Изложницы без бурта'!B983</f>
        <v>340</v>
      </c>
      <c r="AE983" s="215">
        <f>'[2]Изложницы без бурта'!C983</f>
        <v>315</v>
      </c>
      <c r="AF983" s="56">
        <f>'[2]Изложницы без бурта'!D983</f>
        <v>415</v>
      </c>
      <c r="AG983" s="56">
        <f>'[2]Изложницы без бурта'!E983</f>
        <v>450</v>
      </c>
      <c r="AH983" s="56" t="str">
        <f>'[2]Изложницы без бурта'!F983</f>
        <v>10.252631 - 1</v>
      </c>
      <c r="AI983" s="56">
        <f>'[2]Изложницы без бурта'!G983</f>
        <v>7260066</v>
      </c>
      <c r="AJ983" s="56">
        <f>'[2]Изложницы без бурта'!H983</f>
        <v>0</v>
      </c>
      <c r="AK983" s="56">
        <f>'[2]Изложницы без бурта'!I983</f>
        <v>0</v>
      </c>
      <c r="AL983" s="56" t="s">
        <v>674</v>
      </c>
      <c r="AM983" s="56">
        <f>'[2]Изложницы без бурта'!K983</f>
        <v>0</v>
      </c>
    </row>
    <row r="984" spans="28:39" x14ac:dyDescent="0.25">
      <c r="AB984" s="253" t="str">
        <f t="shared" si="31"/>
        <v/>
      </c>
      <c r="AC984" s="254" t="str">
        <f>IF(COUNTIF(AD$78:AD984,AD984)=1,MAX(AC$78:AC983)+1,"")</f>
        <v/>
      </c>
      <c r="AD984" s="215">
        <f>'[2]Изложницы без бурта'!B984</f>
        <v>340</v>
      </c>
      <c r="AE984" s="215">
        <f>'[2]Изложницы без бурта'!C984</f>
        <v>380</v>
      </c>
      <c r="AF984" s="56">
        <f>'[2]Изложницы без бурта'!D984</f>
        <v>415</v>
      </c>
      <c r="AG984" s="56">
        <f>'[2]Изложницы без бурта'!E984</f>
        <v>450</v>
      </c>
      <c r="AH984" s="56" t="str">
        <f>'[2]Изложницы без бурта'!F984</f>
        <v>72.11876 - 16</v>
      </c>
      <c r="AI984" s="56">
        <f>'[2]Изложницы без бурта'!G984</f>
        <v>0</v>
      </c>
      <c r="AJ984" s="56">
        <f>'[2]Изложницы без бурта'!H984</f>
        <v>0</v>
      </c>
      <c r="AK984" s="56">
        <f>'[2]Изложницы без бурта'!I984</f>
        <v>0</v>
      </c>
      <c r="AL984" s="56" t="s">
        <v>674</v>
      </c>
      <c r="AM984" s="56">
        <f>'[2]Изложницы без бурта'!K984</f>
        <v>0</v>
      </c>
    </row>
    <row r="985" spans="28:39" x14ac:dyDescent="0.25">
      <c r="AB985" s="253" t="str">
        <f t="shared" si="31"/>
        <v/>
      </c>
      <c r="AC985" s="254">
        <f>IF(COUNTIF(AD$78:AD985,AD985)=1,MAX(AC$78:AC984)+1,"")</f>
        <v>101</v>
      </c>
      <c r="AD985" s="215">
        <f>'[2]Изложницы без бурта'!B985</f>
        <v>347.5</v>
      </c>
      <c r="AE985" s="215">
        <f>'[2]Изложницы без бурта'!C985</f>
        <v>263</v>
      </c>
      <c r="AF985" s="56">
        <f>'[2]Изложницы без бурта'!D985</f>
        <v>415</v>
      </c>
      <c r="AG985" s="56">
        <f>'[2]Изложницы без бурта'!E985</f>
        <v>450</v>
      </c>
      <c r="AH985" s="56" t="str">
        <f>'[2]Изложницы без бурта'!F985</f>
        <v>72.11872 - 51</v>
      </c>
      <c r="AI985" s="56">
        <f>'[2]Изложницы без бурта'!G985</f>
        <v>7260067</v>
      </c>
      <c r="AJ985" s="56">
        <f>'[2]Изложницы без бурта'!H985</f>
        <v>0</v>
      </c>
      <c r="AK985" s="56">
        <f>'[2]Изложницы без бурта'!I985</f>
        <v>0</v>
      </c>
      <c r="AL985" s="56" t="s">
        <v>675</v>
      </c>
      <c r="AM985" s="56">
        <f>'[2]Изложницы без бурта'!K985</f>
        <v>0</v>
      </c>
    </row>
    <row r="986" spans="28:39" x14ac:dyDescent="0.25">
      <c r="AB986" s="253" t="str">
        <f t="shared" si="31"/>
        <v/>
      </c>
      <c r="AC986" s="254" t="str">
        <f>IF(COUNTIF(AD$78:AD986,AD986)=1,MAX(AC$78:AC985)+1,"")</f>
        <v/>
      </c>
      <c r="AD986" s="215">
        <f>'[2]Изложницы без бурта'!B986</f>
        <v>347.5</v>
      </c>
      <c r="AE986" s="215">
        <f>'[2]Изложницы без бурта'!C986</f>
        <v>495</v>
      </c>
      <c r="AF986" s="56">
        <f>'[2]Изложницы без бурта'!D986</f>
        <v>450</v>
      </c>
      <c r="AG986" s="56">
        <f>'[2]Изложницы без бурта'!E986</f>
        <v>400</v>
      </c>
      <c r="AH986" s="56" t="str">
        <f>'[2]Изложницы без бурта'!F986</f>
        <v>10.264624 - 11</v>
      </c>
      <c r="AI986" s="56">
        <f>'[2]Изложницы без бурта'!G986</f>
        <v>0</v>
      </c>
      <c r="AJ986" s="56">
        <f>'[2]Изложницы без бурта'!H986</f>
        <v>0</v>
      </c>
      <c r="AK986" s="56">
        <f>'[2]Изложницы без бурта'!I986</f>
        <v>0</v>
      </c>
      <c r="AL986" s="56" t="s">
        <v>675</v>
      </c>
      <c r="AM986" s="56">
        <f>'[2]Изложницы без бурта'!K986</f>
        <v>0</v>
      </c>
    </row>
    <row r="987" spans="28:39" x14ac:dyDescent="0.25">
      <c r="AB987" s="253" t="str">
        <f t="shared" si="31"/>
        <v/>
      </c>
      <c r="AC987" s="254" t="str">
        <f>IF(COUNTIF(AD$78:AD987,AD987)=1,MAX(AC$78:AC986)+1,"")</f>
        <v/>
      </c>
      <c r="AD987" s="215">
        <f>'[2]Изложницы без бурта'!B987</f>
        <v>347.5</v>
      </c>
      <c r="AE987" s="215">
        <f>'[2]Изложницы без бурта'!C987</f>
        <v>495</v>
      </c>
      <c r="AF987" s="56">
        <f>'[2]Изложницы без бурта'!D987</f>
        <v>450</v>
      </c>
      <c r="AG987" s="56">
        <f>'[2]Изложницы без бурта'!E987</f>
        <v>400</v>
      </c>
      <c r="AH987" s="56" t="str">
        <f>'[2]Изложницы без бурта'!F987</f>
        <v>10.264624 - 11</v>
      </c>
      <c r="AI987" s="56">
        <f>'[2]Изложницы без бурта'!G987</f>
        <v>0</v>
      </c>
      <c r="AJ987" s="56">
        <f>'[2]Изложницы без бурта'!H987</f>
        <v>0</v>
      </c>
      <c r="AK987" s="56">
        <f>'[2]Изложницы без бурта'!I987</f>
        <v>0</v>
      </c>
      <c r="AL987" s="56" t="s">
        <v>675</v>
      </c>
      <c r="AM987" s="56">
        <f>'[2]Изложницы без бурта'!K987</f>
        <v>0</v>
      </c>
    </row>
    <row r="988" spans="28:39" x14ac:dyDescent="0.25">
      <c r="AB988" s="253" t="str">
        <f t="shared" si="31"/>
        <v/>
      </c>
      <c r="AC988" s="254">
        <f>IF(COUNTIF(AD$78:AD988,AD988)=1,MAX(AC$78:AC987)+1,"")</f>
        <v>102</v>
      </c>
      <c r="AD988" s="215">
        <f>'[2]Изложницы без бурта'!B988</f>
        <v>350</v>
      </c>
      <c r="AE988" s="215">
        <f>'[2]Изложницы без бурта'!C988</f>
        <v>397</v>
      </c>
      <c r="AF988" s="56">
        <f>'[2]Изложницы без бурта'!D988</f>
        <v>415</v>
      </c>
      <c r="AG988" s="56">
        <f>'[2]Изложницы без бурта'!E988</f>
        <v>400</v>
      </c>
      <c r="AH988" s="56" t="str">
        <f>'[2]Изложницы без бурта'!F988</f>
        <v>72.11876 - 20</v>
      </c>
      <c r="AI988" s="56">
        <f>'[2]Изложницы без бурта'!G988</f>
        <v>0</v>
      </c>
      <c r="AJ988" s="56">
        <f>'[2]Изложницы без бурта'!H988</f>
        <v>0</v>
      </c>
      <c r="AK988" s="56">
        <f>'[2]Изложницы без бурта'!I988</f>
        <v>0</v>
      </c>
      <c r="AL988" s="56" t="s">
        <v>676</v>
      </c>
      <c r="AM988" s="56">
        <f>'[2]Изложницы без бурта'!K988</f>
        <v>0</v>
      </c>
    </row>
    <row r="989" spans="28:39" x14ac:dyDescent="0.25">
      <c r="AB989" s="253" t="str">
        <f t="shared" si="31"/>
        <v/>
      </c>
      <c r="AC989" s="254" t="str">
        <f>IF(COUNTIF(AD$78:AD989,AD989)=1,MAX(AC$78:AC988)+1,"")</f>
        <v/>
      </c>
      <c r="AD989" s="215">
        <f>'[2]Изложницы без бурта'!B989</f>
        <v>350</v>
      </c>
      <c r="AE989" s="215">
        <f>'[2]Изложницы без бурта'!C989</f>
        <v>398</v>
      </c>
      <c r="AF989" s="56">
        <f>'[2]Изложницы без бурта'!D989</f>
        <v>415</v>
      </c>
      <c r="AG989" s="56">
        <f>'[2]Изложницы без бурта'!E989</f>
        <v>400</v>
      </c>
      <c r="AH989" s="56" t="str">
        <f>'[2]Изложницы без бурта'!F989</f>
        <v>72.11876 - 20</v>
      </c>
      <c r="AI989" s="56">
        <f>'[2]Изложницы без бурта'!G989</f>
        <v>0</v>
      </c>
      <c r="AJ989" s="56">
        <f>'[2]Изложницы без бурта'!H989</f>
        <v>0</v>
      </c>
      <c r="AK989" s="56">
        <f>'[2]Изложницы без бурта'!I989</f>
        <v>0</v>
      </c>
      <c r="AL989" s="56" t="s">
        <v>676</v>
      </c>
      <c r="AM989" s="56">
        <f>'[2]Изложницы без бурта'!K989</f>
        <v>0</v>
      </c>
    </row>
    <row r="990" spans="28:39" x14ac:dyDescent="0.25">
      <c r="AB990" s="253" t="str">
        <f t="shared" si="31"/>
        <v/>
      </c>
      <c r="AC990" s="254" t="str">
        <f>IF(COUNTIF(AD$78:AD990,AD990)=1,MAX(AC$78:AC989)+1,"")</f>
        <v/>
      </c>
      <c r="AD990" s="215">
        <f>'[2]Изложницы без бурта'!B990</f>
        <v>350</v>
      </c>
      <c r="AE990" s="215">
        <f>'[2]Изложницы без бурта'!C990</f>
        <v>257</v>
      </c>
      <c r="AF990" s="56">
        <f>'[2]Изложницы без бурта'!D990</f>
        <v>415</v>
      </c>
      <c r="AG990" s="56">
        <f>'[2]Изложницы без бурта'!E990</f>
        <v>450</v>
      </c>
      <c r="AH990" s="56" t="str">
        <f>'[2]Изложницы без бурта'!F990</f>
        <v>72.11875 - 20</v>
      </c>
      <c r="AI990" s="56">
        <f>'[2]Изложницы без бурта'!G990</f>
        <v>0</v>
      </c>
      <c r="AJ990" s="56">
        <f>'[2]Изложницы без бурта'!H990</f>
        <v>0</v>
      </c>
      <c r="AK990" s="56">
        <f>'[2]Изложницы без бурта'!I990</f>
        <v>0</v>
      </c>
      <c r="AL990" s="56" t="s">
        <v>676</v>
      </c>
      <c r="AM990" s="56">
        <f>'[2]Изложницы без бурта'!K990</f>
        <v>0</v>
      </c>
    </row>
    <row r="991" spans="28:39" x14ac:dyDescent="0.25">
      <c r="AB991" s="253" t="str">
        <f t="shared" si="31"/>
        <v/>
      </c>
      <c r="AC991" s="254" t="str">
        <f>IF(COUNTIF(AD$78:AD991,AD991)=1,MAX(AC$78:AC990)+1,"")</f>
        <v/>
      </c>
      <c r="AD991" s="215">
        <f>'[2]Изложницы без бурта'!B991</f>
        <v>350</v>
      </c>
      <c r="AE991" s="215">
        <f>'[2]Изложницы без бурта'!C991</f>
        <v>257</v>
      </c>
      <c r="AF991" s="56">
        <f>'[2]Изложницы без бурта'!D991</f>
        <v>400</v>
      </c>
      <c r="AG991" s="56">
        <f>'[2]Изложницы без бурта'!E991</f>
        <v>450</v>
      </c>
      <c r="AH991" s="56" t="str">
        <f>'[2]Изложницы без бурта'!F991</f>
        <v>72.11875 - 20</v>
      </c>
      <c r="AI991" s="56">
        <f>'[2]Изложницы без бурта'!G991</f>
        <v>0</v>
      </c>
      <c r="AJ991" s="56">
        <f>'[2]Изложницы без бурта'!H991</f>
        <v>0</v>
      </c>
      <c r="AK991" s="56">
        <f>'[2]Изложницы без бурта'!I991</f>
        <v>0</v>
      </c>
      <c r="AL991" s="56" t="s">
        <v>676</v>
      </c>
      <c r="AM991" s="56">
        <f>'[2]Изложницы без бурта'!K991</f>
        <v>0</v>
      </c>
    </row>
    <row r="992" spans="28:39" x14ac:dyDescent="0.25">
      <c r="AB992" s="253" t="str">
        <f t="shared" si="31"/>
        <v/>
      </c>
      <c r="AC992" s="254" t="str">
        <f>IF(COUNTIF(AD$78:AD992,AD992)=1,MAX(AC$78:AC991)+1,"")</f>
        <v/>
      </c>
      <c r="AD992" s="215">
        <f>'[2]Изложницы без бурта'!B992</f>
        <v>350</v>
      </c>
      <c r="AE992" s="215">
        <f>'[2]Изложницы без бурта'!C992</f>
        <v>397</v>
      </c>
      <c r="AF992" s="56">
        <f>'[2]Изложницы без бурта'!D992</f>
        <v>415</v>
      </c>
      <c r="AG992" s="56">
        <f>'[2]Изложницы без бурта'!E992</f>
        <v>400</v>
      </c>
      <c r="AH992" s="56" t="str">
        <f>'[2]Изложницы без бурта'!F992</f>
        <v>72.11876 - 20</v>
      </c>
      <c r="AI992" s="56">
        <f>'[2]Изложницы без бурта'!G992</f>
        <v>0</v>
      </c>
      <c r="AJ992" s="56">
        <f>'[2]Изложницы без бурта'!H992</f>
        <v>0</v>
      </c>
      <c r="AK992" s="56">
        <f>'[2]Изложницы без бурта'!I992</f>
        <v>0</v>
      </c>
      <c r="AL992" s="56" t="s">
        <v>676</v>
      </c>
      <c r="AM992" s="56">
        <f>'[2]Изложницы без бурта'!K992</f>
        <v>0</v>
      </c>
    </row>
    <row r="993" spans="28:39" x14ac:dyDescent="0.25">
      <c r="AB993" s="253" t="str">
        <f t="shared" si="31"/>
        <v/>
      </c>
      <c r="AC993" s="254">
        <f>IF(COUNTIF(AD$78:AD993,AD993)=1,MAX(AC$78:AC992)+1,"")</f>
        <v>103</v>
      </c>
      <c r="AD993" s="215">
        <f>'[2]Изложницы без бурта'!B993</f>
        <v>355</v>
      </c>
      <c r="AE993" s="215">
        <f>'[2]Изложницы без бурта'!C993</f>
        <v>495</v>
      </c>
      <c r="AF993" s="56">
        <f>'[2]Изложницы без бурта'!D993</f>
        <v>450</v>
      </c>
      <c r="AG993" s="56">
        <f>'[2]Изложницы без бурта'!E993</f>
        <v>400</v>
      </c>
      <c r="AH993" s="56" t="str">
        <f>'[2]Изложницы без бурта'!F993</f>
        <v>10.254624 - 14</v>
      </c>
      <c r="AI993" s="56">
        <f>'[2]Изложницы без бурта'!G993</f>
        <v>7260068</v>
      </c>
      <c r="AJ993" s="56">
        <f>'[2]Изложницы без бурта'!H993</f>
        <v>0</v>
      </c>
      <c r="AK993" s="56">
        <f>'[2]Изложницы без бурта'!I993</f>
        <v>0</v>
      </c>
      <c r="AL993" s="56" t="s">
        <v>677</v>
      </c>
      <c r="AM993" s="56">
        <f>'[2]Изложницы без бурта'!K993</f>
        <v>0</v>
      </c>
    </row>
    <row r="994" spans="28:39" x14ac:dyDescent="0.25">
      <c r="AB994" s="253" t="str">
        <f t="shared" si="31"/>
        <v/>
      </c>
      <c r="AC994" s="254" t="str">
        <f>IF(COUNTIF(AD$78:AD994,AD994)=1,MAX(AC$78:AC993)+1,"")</f>
        <v/>
      </c>
      <c r="AD994" s="215">
        <f>'[2]Изложницы без бурта'!B994</f>
        <v>355</v>
      </c>
      <c r="AE994" s="215">
        <f>'[2]Изложницы без бурта'!C994</f>
        <v>495</v>
      </c>
      <c r="AF994" s="56">
        <f>'[2]Изложницы без бурта'!D994</f>
        <v>450</v>
      </c>
      <c r="AG994" s="56">
        <f>'[2]Изложницы без бурта'!E994</f>
        <v>400</v>
      </c>
      <c r="AH994" s="56" t="str">
        <f>'[2]Изложницы без бурта'!F994</f>
        <v>10.254624 - 14</v>
      </c>
      <c r="AI994" s="56">
        <f>'[2]Изложницы без бурта'!G994</f>
        <v>7260068</v>
      </c>
      <c r="AJ994" s="56">
        <f>'[2]Изложницы без бурта'!H994</f>
        <v>0</v>
      </c>
      <c r="AK994" s="56">
        <f>'[2]Изложницы без бурта'!I994</f>
        <v>0</v>
      </c>
      <c r="AL994" s="56" t="s">
        <v>677</v>
      </c>
      <c r="AM994" s="56">
        <f>'[2]Изложницы без бурта'!K994</f>
        <v>0</v>
      </c>
    </row>
    <row r="995" spans="28:39" x14ac:dyDescent="0.25">
      <c r="AB995" s="253" t="str">
        <f t="shared" si="31"/>
        <v/>
      </c>
      <c r="AC995" s="254" t="str">
        <f>IF(COUNTIF(AD$78:AD995,AD995)=1,MAX(AC$78:AC994)+1,"")</f>
        <v/>
      </c>
      <c r="AD995" s="215">
        <f>'[2]Изложницы без бурта'!B995</f>
        <v>355</v>
      </c>
      <c r="AE995" s="215">
        <f>'[2]Изложницы без бурта'!C995</f>
        <v>240</v>
      </c>
      <c r="AF995" s="56">
        <f>'[2]Изложницы без бурта'!D995</f>
        <v>415</v>
      </c>
      <c r="AG995" s="56">
        <f>'[2]Изложницы без бурта'!E995</f>
        <v>450</v>
      </c>
      <c r="AH995" s="56" t="str">
        <f>'[2]Изложницы без бурта'!F995</f>
        <v>72.48674 - 1</v>
      </c>
      <c r="AI995" s="56">
        <f>'[2]Изложницы без бурта'!G995</f>
        <v>7260069</v>
      </c>
      <c r="AJ995" s="56">
        <f>'[2]Изложницы без бурта'!H995</f>
        <v>0</v>
      </c>
      <c r="AK995" s="56">
        <f>'[2]Изложницы без бурта'!I995</f>
        <v>0</v>
      </c>
      <c r="AL995" s="56" t="s">
        <v>677</v>
      </c>
      <c r="AM995" s="56">
        <f>'[2]Изложницы без бурта'!K995</f>
        <v>0</v>
      </c>
    </row>
    <row r="996" spans="28:39" x14ac:dyDescent="0.25">
      <c r="AB996" s="253" t="str">
        <f t="shared" si="31"/>
        <v/>
      </c>
      <c r="AC996" s="254" t="str">
        <f>IF(COUNTIF(AD$78:AD996,AD996)=1,MAX(AC$78:AC995)+1,"")</f>
        <v/>
      </c>
      <c r="AD996" s="215">
        <f>'[2]Изложницы без бурта'!B996</f>
        <v>355</v>
      </c>
      <c r="AE996" s="215">
        <f>'[2]Изложницы без бурта'!C996</f>
        <v>387</v>
      </c>
      <c r="AF996" s="56">
        <f>'[2]Изложницы без бурта'!D996</f>
        <v>375</v>
      </c>
      <c r="AG996" s="56">
        <f>'[2]Изложницы без бурта'!E996</f>
        <v>450</v>
      </c>
      <c r="AH996" s="56" t="str">
        <f>'[2]Изложницы без бурта'!F996</f>
        <v>72.11876 - 22</v>
      </c>
      <c r="AI996" s="56">
        <f>'[2]Изложницы без бурта'!G996</f>
        <v>7260070</v>
      </c>
      <c r="AJ996" s="56">
        <f>'[2]Изложницы без бурта'!H996</f>
        <v>0</v>
      </c>
      <c r="AK996" s="56">
        <f>'[2]Изложницы без бурта'!I996</f>
        <v>0</v>
      </c>
      <c r="AL996" s="56" t="s">
        <v>677</v>
      </c>
      <c r="AM996" s="56">
        <f>'[2]Изложницы без бурта'!K996</f>
        <v>0</v>
      </c>
    </row>
    <row r="997" spans="28:39" x14ac:dyDescent="0.25">
      <c r="AB997" s="253" t="str">
        <f t="shared" si="31"/>
        <v/>
      </c>
      <c r="AC997" s="254">
        <f>IF(COUNTIF(AD$78:AD997,AD997)=1,MAX(AC$78:AC996)+1,"")</f>
        <v>104</v>
      </c>
      <c r="AD997" s="215">
        <f>'[2]Изложницы без бурта'!B997</f>
        <v>360</v>
      </c>
      <c r="AE997" s="215">
        <f>'[2]Изложницы без бурта'!C997</f>
        <v>500</v>
      </c>
      <c r="AF997" s="56">
        <f>'[2]Изложницы без бурта'!D997</f>
        <v>470</v>
      </c>
      <c r="AG997" s="56">
        <f>'[2]Изложницы без бурта'!E997</f>
        <v>400</v>
      </c>
      <c r="AH997" s="56" t="str">
        <f>'[2]Изложницы без бурта'!F997</f>
        <v>10.254624 - 16</v>
      </c>
      <c r="AI997" s="56">
        <f>'[2]Изложницы без бурта'!G997</f>
        <v>7260071</v>
      </c>
      <c r="AJ997" s="56">
        <f>'[2]Изложницы без бурта'!H997</f>
        <v>0</v>
      </c>
      <c r="AK997" s="56">
        <f>'[2]Изложницы без бурта'!I997</f>
        <v>0</v>
      </c>
      <c r="AL997" s="56" t="s">
        <v>678</v>
      </c>
      <c r="AM997" s="56">
        <f>'[2]Изложницы без бурта'!K997</f>
        <v>0</v>
      </c>
    </row>
    <row r="998" spans="28:39" x14ac:dyDescent="0.25">
      <c r="AB998" s="253" t="str">
        <f t="shared" si="31"/>
        <v/>
      </c>
      <c r="AC998" s="254">
        <f>IF(COUNTIF(AD$78:AD998,AD998)=1,MAX(AC$78:AC997)+1,"")</f>
        <v>105</v>
      </c>
      <c r="AD998" s="215">
        <f>'[2]Изложницы без бурта'!B998</f>
        <v>365</v>
      </c>
      <c r="AE998" s="215">
        <f>'[2]Изложницы без бурта'!C998</f>
        <v>495</v>
      </c>
      <c r="AF998" s="56">
        <f>'[2]Изложницы без бурта'!D998</f>
        <v>470</v>
      </c>
      <c r="AG998" s="56">
        <f>'[2]Изложницы без бурта'!E998</f>
        <v>400</v>
      </c>
      <c r="AH998" s="56" t="str">
        <f>'[2]Изложницы без бурта'!F998</f>
        <v>10.254624 - 18</v>
      </c>
      <c r="AI998" s="56">
        <f>'[2]Изложницы без бурта'!G998</f>
        <v>0</v>
      </c>
      <c r="AJ998" s="56">
        <f>'[2]Изложницы без бурта'!H998</f>
        <v>0</v>
      </c>
      <c r="AK998" s="56">
        <f>'[2]Изложницы без бурта'!I998</f>
        <v>0</v>
      </c>
      <c r="AL998" s="56" t="s">
        <v>679</v>
      </c>
      <c r="AM998" s="56">
        <f>'[2]Изложницы без бурта'!K998</f>
        <v>0</v>
      </c>
    </row>
    <row r="999" spans="28:39" x14ac:dyDescent="0.25">
      <c r="AB999" s="253" t="str">
        <f t="shared" si="31"/>
        <v/>
      </c>
      <c r="AC999" s="254" t="str">
        <f>IF(COUNTIF(AD$78:AD999,AD999)=1,MAX(AC$78:AC998)+1,"")</f>
        <v/>
      </c>
      <c r="AD999" s="215">
        <f>'[2]Изложницы без бурта'!B999</f>
        <v>365</v>
      </c>
      <c r="AE999" s="215">
        <f>'[2]Изложницы без бурта'!C999</f>
        <v>317</v>
      </c>
      <c r="AF999" s="56">
        <f>'[2]Изложницы без бурта'!D999</f>
        <v>415</v>
      </c>
      <c r="AG999" s="56">
        <f>'[2]Изложницы без бурта'!E999</f>
        <v>450</v>
      </c>
      <c r="AH999" s="56" t="str">
        <f>'[2]Изложницы без бурта'!F999</f>
        <v>10.252631 - 2</v>
      </c>
      <c r="AI999" s="56">
        <f>'[2]Изложницы без бурта'!G999</f>
        <v>0</v>
      </c>
      <c r="AJ999" s="56">
        <f>'[2]Изложницы без бурта'!H999</f>
        <v>0</v>
      </c>
      <c r="AK999" s="56">
        <f>'[2]Изложницы без бурта'!I999</f>
        <v>0</v>
      </c>
      <c r="AL999" s="56" t="s">
        <v>679</v>
      </c>
      <c r="AM999" s="56">
        <f>'[2]Изложницы без бурта'!K999</f>
        <v>0</v>
      </c>
    </row>
    <row r="1000" spans="28:39" x14ac:dyDescent="0.25">
      <c r="AB1000" s="253" t="str">
        <f t="shared" si="31"/>
        <v/>
      </c>
      <c r="AC1000" s="254" t="str">
        <f>IF(COUNTIF(AD$78:AD1000,AD1000)=1,MAX(AC$78:AC999)+1,"")</f>
        <v/>
      </c>
      <c r="AD1000" s="215">
        <f>'[2]Изложницы без бурта'!B1000</f>
        <v>365</v>
      </c>
      <c r="AE1000" s="215">
        <f>'[2]Изложницы без бурта'!C1000</f>
        <v>315</v>
      </c>
      <c r="AF1000" s="56">
        <f>'[2]Изложницы без бурта'!D1000</f>
        <v>415</v>
      </c>
      <c r="AG1000" s="56">
        <f>'[2]Изложницы без бурта'!E1000</f>
        <v>450</v>
      </c>
      <c r="AH1000" s="56" t="str">
        <f>'[2]Изложницы без бурта'!F1000</f>
        <v>10.252631 - 2</v>
      </c>
      <c r="AI1000" s="56">
        <f>'[2]Изложницы без бурта'!G1000</f>
        <v>0</v>
      </c>
      <c r="AJ1000" s="56">
        <f>'[2]Изложницы без бурта'!H1000</f>
        <v>0</v>
      </c>
      <c r="AK1000" s="56">
        <f>'[2]Изложницы без бурта'!I1000</f>
        <v>0</v>
      </c>
      <c r="AL1000" s="56" t="s">
        <v>679</v>
      </c>
      <c r="AM1000" s="56">
        <f>'[2]Изложницы без бурта'!K1000</f>
        <v>0</v>
      </c>
    </row>
    <row r="1001" spans="28:39" x14ac:dyDescent="0.25">
      <c r="AB1001" s="253" t="str">
        <f t="shared" si="31"/>
        <v/>
      </c>
      <c r="AC1001" s="254" t="str">
        <f>IF(COUNTIF(AD$78:AD1001,AD1001)=1,MAX(AC$78:AC1000)+1,"")</f>
        <v/>
      </c>
      <c r="AD1001" s="215">
        <f>'[2]Изложницы без бурта'!B1001</f>
        <v>365</v>
      </c>
      <c r="AE1001" s="215">
        <f>'[2]Изложницы без бурта'!C1001</f>
        <v>500</v>
      </c>
      <c r="AF1001" s="56">
        <f>'[2]Изложницы без бурта'!D1001</f>
        <v>470</v>
      </c>
      <c r="AG1001" s="56">
        <f>'[2]Изложницы без бурта'!E1001</f>
        <v>400</v>
      </c>
      <c r="AH1001" s="56" t="str">
        <f>'[2]Изложницы без бурта'!F1001</f>
        <v>10.254624 - 18</v>
      </c>
      <c r="AI1001" s="56">
        <f>'[2]Изложницы без бурта'!G1001</f>
        <v>0</v>
      </c>
      <c r="AJ1001" s="56">
        <f>'[2]Изложницы без бурта'!H1001</f>
        <v>0</v>
      </c>
      <c r="AK1001" s="56">
        <f>'[2]Изложницы без бурта'!I1001</f>
        <v>0</v>
      </c>
      <c r="AL1001" s="56" t="s">
        <v>679</v>
      </c>
      <c r="AM1001" s="56">
        <f>'[2]Изложницы без бурта'!K1001</f>
        <v>0</v>
      </c>
    </row>
    <row r="1002" spans="28:39" x14ac:dyDescent="0.25">
      <c r="AB1002" s="253" t="str">
        <f t="shared" si="31"/>
        <v/>
      </c>
      <c r="AC1002" s="254">
        <f>IF(COUNTIF(AD$78:AD1002,AD1002)=1,MAX(AC$78:AC1001)+1,"")</f>
        <v>106</v>
      </c>
      <c r="AD1002" s="215">
        <f>'[2]Изложницы без бурта'!B1002</f>
        <v>367.5</v>
      </c>
      <c r="AE1002" s="215">
        <f>'[2]Изложницы без бурта'!C1002</f>
        <v>654</v>
      </c>
      <c r="AF1002" s="56">
        <f>'[2]Изложницы без бурта'!D1002</f>
        <v>400</v>
      </c>
      <c r="AG1002" s="56">
        <f>'[2]Изложницы без бурта'!E1002</f>
        <v>400</v>
      </c>
      <c r="AH1002" s="56" t="str">
        <f>'[2]Изложницы без бурта'!F1002</f>
        <v>72.47722 - 01</v>
      </c>
      <c r="AI1002" s="56">
        <f>'[2]Изложницы без бурта'!G1002</f>
        <v>7260072</v>
      </c>
      <c r="AJ1002" s="56" t="str">
        <f>'[2]Изложницы без бурта'!H1002</f>
        <v>1/30</v>
      </c>
      <c r="AK1002" s="56" t="str">
        <f>'[2]Изложницы без бурта'!I1002</f>
        <v>Без дна - можно стационарно</v>
      </c>
      <c r="AL1002" s="56" t="s">
        <v>680</v>
      </c>
      <c r="AM1002" s="56">
        <f>'[2]Изложницы без бурта'!K1002</f>
        <v>0</v>
      </c>
    </row>
    <row r="1003" spans="28:39" x14ac:dyDescent="0.25">
      <c r="AB1003" s="253" t="str">
        <f t="shared" si="31"/>
        <v/>
      </c>
      <c r="AC1003" s="254">
        <f>IF(COUNTIF(AD$78:AD1003,AD1003)=1,MAX(AC$78:AC1002)+1,"")</f>
        <v>107</v>
      </c>
      <c r="AD1003" s="215">
        <f>'[2]Изложницы без бурта'!B1003</f>
        <v>370</v>
      </c>
      <c r="AE1003" s="215">
        <f>'[2]Изложницы без бурта'!C1003</f>
        <v>255</v>
      </c>
      <c r="AF1003" s="56">
        <f>'[2]Изложницы без бурта'!D1003</f>
        <v>400</v>
      </c>
      <c r="AG1003" s="56">
        <f>'[2]Изложницы без бурта'!E1003</f>
        <v>450</v>
      </c>
      <c r="AH1003" s="56" t="str">
        <f>'[2]Изложницы без бурта'!F1003</f>
        <v>72.11872 - 60</v>
      </c>
      <c r="AI1003" s="56">
        <f>'[2]Изложницы без бурта'!G1003</f>
        <v>7260073</v>
      </c>
      <c r="AJ1003" s="56">
        <f>'[2]Изложницы без бурта'!H1003</f>
        <v>0</v>
      </c>
      <c r="AK1003" s="56">
        <f>'[2]Изложницы без бурта'!I1003</f>
        <v>0</v>
      </c>
      <c r="AL1003" s="56" t="s">
        <v>681</v>
      </c>
      <c r="AM1003" s="56">
        <f>'[2]Изложницы без бурта'!K1003</f>
        <v>0</v>
      </c>
    </row>
    <row r="1004" spans="28:39" x14ac:dyDescent="0.25">
      <c r="AB1004" s="253" t="str">
        <f t="shared" si="31"/>
        <v/>
      </c>
      <c r="AC1004" s="254">
        <f>IF(COUNTIF(AD$78:AD1004,AD1004)=1,MAX(AC$78:AC1003)+1,"")</f>
        <v>108</v>
      </c>
      <c r="AD1004" s="215">
        <f>'[2]Изложницы без бурта'!B1004</f>
        <v>372.5</v>
      </c>
      <c r="AE1004" s="215">
        <f>'[2]Изложницы без бурта'!C1004</f>
        <v>498</v>
      </c>
      <c r="AF1004" s="56">
        <f>'[2]Изложницы без бурта'!D1004</f>
        <v>470</v>
      </c>
      <c r="AG1004" s="56">
        <f>'[2]Изложницы без бурта'!E1004</f>
        <v>400</v>
      </c>
      <c r="AH1004" s="56" t="str">
        <f>'[2]Изложницы без бурта'!F1004</f>
        <v>10.254624 - 21</v>
      </c>
      <c r="AI1004" s="56">
        <f>'[2]Изложницы без бурта'!G1004</f>
        <v>7260074</v>
      </c>
      <c r="AJ1004" s="56">
        <f>'[2]Изложницы без бурта'!H1004</f>
        <v>0</v>
      </c>
      <c r="AK1004" s="56">
        <f>'[2]Изложницы без бурта'!I1004</f>
        <v>0</v>
      </c>
      <c r="AL1004" s="56" t="s">
        <v>682</v>
      </c>
      <c r="AM1004" s="56">
        <f>'[2]Изложницы без бурта'!K1004</f>
        <v>0</v>
      </c>
    </row>
    <row r="1005" spans="28:39" x14ac:dyDescent="0.25">
      <c r="AB1005" s="253" t="str">
        <f t="shared" si="31"/>
        <v/>
      </c>
      <c r="AC1005" s="254" t="str">
        <f>IF(COUNTIF(AD$78:AD1005,AD1005)=1,MAX(AC$78:AC1004)+1,"")</f>
        <v/>
      </c>
      <c r="AD1005" s="215">
        <f>'[2]Изложницы без бурта'!B1005</f>
        <v>372.5</v>
      </c>
      <c r="AE1005" s="215">
        <f>'[2]Изложницы без бурта'!C1005</f>
        <v>495</v>
      </c>
      <c r="AF1005" s="56">
        <f>'[2]Изложницы без бурта'!D1005</f>
        <v>470</v>
      </c>
      <c r="AG1005" s="56">
        <f>'[2]Изложницы без бурта'!E1005</f>
        <v>400</v>
      </c>
      <c r="AH1005" s="56" t="str">
        <f>'[2]Изложницы без бурта'!F1005</f>
        <v>10.254624 - 21</v>
      </c>
      <c r="AI1005" s="56">
        <f>'[2]Изложницы без бурта'!G1005</f>
        <v>7260074</v>
      </c>
      <c r="AJ1005" s="56">
        <f>'[2]Изложницы без бурта'!H1005</f>
        <v>0</v>
      </c>
      <c r="AK1005" s="56">
        <f>'[2]Изложницы без бурта'!I1005</f>
        <v>0</v>
      </c>
      <c r="AL1005" s="56" t="s">
        <v>682</v>
      </c>
      <c r="AM1005" s="56">
        <f>'[2]Изложницы без бурта'!K1005</f>
        <v>0</v>
      </c>
    </row>
    <row r="1006" spans="28:39" x14ac:dyDescent="0.25">
      <c r="AB1006" s="253" t="str">
        <f t="shared" si="31"/>
        <v/>
      </c>
      <c r="AC1006" s="254" t="str">
        <f>IF(COUNTIF(AD$78:AD1006,AD1006)=1,MAX(AC$78:AC1005)+1,"")</f>
        <v/>
      </c>
      <c r="AD1006" s="215">
        <f>'[2]Изложницы без бурта'!B1006</f>
        <v>372.5</v>
      </c>
      <c r="AE1006" s="215">
        <f>'[2]Изложницы без бурта'!C1006</f>
        <v>397</v>
      </c>
      <c r="AF1006" s="56">
        <f>'[2]Изложницы без бурта'!D1006</f>
        <v>470</v>
      </c>
      <c r="AG1006" s="56">
        <f>'[2]Изложницы без бурта'!E1006</f>
        <v>400</v>
      </c>
      <c r="AH1006" s="56" t="str">
        <f>'[2]Изложницы без бурта'!F1006</f>
        <v>10.242291 - 1</v>
      </c>
      <c r="AI1006" s="56">
        <f>'[2]Изложницы без бурта'!G1006</f>
        <v>0</v>
      </c>
      <c r="AJ1006" s="56">
        <f>'[2]Изложницы без бурта'!H1006</f>
        <v>0</v>
      </c>
      <c r="AK1006" s="56">
        <f>'[2]Изложницы без бурта'!I1006</f>
        <v>0</v>
      </c>
      <c r="AL1006" s="56" t="s">
        <v>682</v>
      </c>
      <c r="AM1006" s="56">
        <f>'[2]Изложницы без бурта'!K1006</f>
        <v>0</v>
      </c>
    </row>
    <row r="1007" spans="28:39" x14ac:dyDescent="0.25">
      <c r="AB1007" s="253" t="str">
        <f t="shared" si="31"/>
        <v/>
      </c>
      <c r="AC1007" s="254">
        <f>IF(COUNTIF(AD$78:AD1007,AD1007)=1,MAX(AC$78:AC1006)+1,"")</f>
        <v>109</v>
      </c>
      <c r="AD1007" s="215">
        <f>'[2]Изложницы без бурта'!B1007</f>
        <v>377.5</v>
      </c>
      <c r="AE1007" s="215">
        <f>'[2]Изложницы без бурта'!C1007</f>
        <v>655</v>
      </c>
      <c r="AF1007" s="56">
        <f>'[2]Изложницы без бурта'!D1007</f>
        <v>470</v>
      </c>
      <c r="AG1007" s="56">
        <f>'[2]Изложницы без бурта'!E1007</f>
        <v>400</v>
      </c>
      <c r="AH1007" s="56" t="str">
        <f>'[2]Изложницы без бурта'!F1007</f>
        <v>72.47722 - 01</v>
      </c>
      <c r="AI1007" s="56">
        <f>'[2]Изложницы без бурта'!G1007</f>
        <v>7260075</v>
      </c>
      <c r="AJ1007" s="56">
        <f>'[2]Изложницы без бурта'!H1007</f>
        <v>0</v>
      </c>
      <c r="AK1007" s="56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6" t="s">
        <v>683</v>
      </c>
      <c r="AM1007" s="56">
        <f>'[2]Изложницы без бурта'!K1007</f>
        <v>0</v>
      </c>
    </row>
    <row r="1008" spans="28:39" x14ac:dyDescent="0.25">
      <c r="AB1008" s="253" t="str">
        <f t="shared" si="31"/>
        <v/>
      </c>
      <c r="AC1008" s="254" t="str">
        <f>IF(COUNTIF(AD$78:AD1008,AD1008)=1,MAX(AC$78:AC1007)+1,"")</f>
        <v/>
      </c>
      <c r="AD1008" s="215">
        <f>'[2]Изложницы без бурта'!B1008</f>
        <v>377.5</v>
      </c>
      <c r="AE1008" s="215">
        <f>'[2]Изложницы без бурта'!C1008</f>
        <v>230</v>
      </c>
      <c r="AF1008" s="56">
        <f>'[2]Изложницы без бурта'!D1008</f>
        <v>415</v>
      </c>
      <c r="AG1008" s="56">
        <f>'[2]Изложницы без бурта'!E1008</f>
        <v>400</v>
      </c>
      <c r="AH1008" s="56" t="str">
        <f>'[2]Изложницы без бурта'!F1008</f>
        <v>72.48674 - 2</v>
      </c>
      <c r="AI1008" s="56">
        <f>'[2]Изложницы без бурта'!G1008</f>
        <v>7260076</v>
      </c>
      <c r="AJ1008" s="56">
        <f>'[2]Изложницы без бурта'!H1008</f>
        <v>0</v>
      </c>
      <c r="AK1008" s="56">
        <f>'[2]Изложницы без бурта'!I1008</f>
        <v>0</v>
      </c>
      <c r="AL1008" s="56" t="s">
        <v>683</v>
      </c>
      <c r="AM1008" s="56">
        <f>'[2]Изложницы без бурта'!K1008</f>
        <v>0</v>
      </c>
    </row>
    <row r="1009" spans="28:39" x14ac:dyDescent="0.25">
      <c r="AB1009" s="253" t="str">
        <f t="shared" si="31"/>
        <v/>
      </c>
      <c r="AC1009" s="254" t="str">
        <f>IF(COUNTIF(AD$78:AD1009,AD1009)=1,MAX(AC$78:AC1008)+1,"")</f>
        <v/>
      </c>
      <c r="AD1009" s="215">
        <f>'[2]Изложницы без бурта'!B1009</f>
        <v>377.5</v>
      </c>
      <c r="AE1009" s="215">
        <f>'[2]Изложницы без бурта'!C1009</f>
        <v>455</v>
      </c>
      <c r="AF1009" s="56">
        <f>'[2]Изложницы без бурта'!D1009</f>
        <v>470</v>
      </c>
      <c r="AG1009" s="56">
        <f>'[2]Изложницы без бурта'!E1009</f>
        <v>400</v>
      </c>
      <c r="AH1009" s="56" t="str">
        <f>'[2]Изложницы без бурта'!F1009</f>
        <v>72.48007 - 1</v>
      </c>
      <c r="AI1009" s="56">
        <f>'[2]Изложницы без бурта'!G1009</f>
        <v>0</v>
      </c>
      <c r="AJ1009" s="56">
        <f>'[2]Изложницы без бурта'!H1009</f>
        <v>0</v>
      </c>
      <c r="AK1009" s="56">
        <f>'[2]Изложницы без бурта'!I1009</f>
        <v>0</v>
      </c>
      <c r="AL1009" s="56" t="s">
        <v>683</v>
      </c>
      <c r="AM1009" s="56">
        <f>'[2]Изложницы без бурта'!K1009</f>
        <v>0</v>
      </c>
    </row>
    <row r="1010" spans="28:39" x14ac:dyDescent="0.25">
      <c r="AB1010" s="253" t="str">
        <f t="shared" si="31"/>
        <v/>
      </c>
      <c r="AC1010" s="254" t="str">
        <f>IF(COUNTIF(AD$78:AD1010,AD1010)=1,MAX(AC$78:AC1009)+1,"")</f>
        <v/>
      </c>
      <c r="AD1010" s="215">
        <f>'[2]Изложницы без бурта'!B1010</f>
        <v>377.5</v>
      </c>
      <c r="AE1010" s="215">
        <f>'[2]Изложницы без бурта'!C1010</f>
        <v>457</v>
      </c>
      <c r="AF1010" s="56">
        <f>'[2]Изложницы без бурта'!D1010</f>
        <v>500</v>
      </c>
      <c r="AG1010" s="56">
        <f>'[2]Изложницы без бурта'!E1010</f>
        <v>400</v>
      </c>
      <c r="AH1010" s="56" t="str">
        <f>'[2]Изложницы без бурта'!F1010</f>
        <v>72.48007 - 1</v>
      </c>
      <c r="AI1010" s="56">
        <f>'[2]Изложницы без бурта'!G1010</f>
        <v>0</v>
      </c>
      <c r="AJ1010" s="56">
        <f>'[2]Изложницы без бурта'!H1010</f>
        <v>0</v>
      </c>
      <c r="AK1010" s="56">
        <f>'[2]Изложницы без бурта'!I1010</f>
        <v>0</v>
      </c>
      <c r="AL1010" s="56" t="s">
        <v>683</v>
      </c>
      <c r="AM1010" s="56">
        <f>'[2]Изложницы без бурта'!K1010</f>
        <v>0</v>
      </c>
    </row>
    <row r="1011" spans="28:39" x14ac:dyDescent="0.25">
      <c r="AB1011" s="253" t="str">
        <f t="shared" si="31"/>
        <v/>
      </c>
      <c r="AC1011" s="254" t="str">
        <f>IF(COUNTIF(AD$78:AD1011,AD1011)=1,MAX(AC$78:AC1010)+1,"")</f>
        <v/>
      </c>
      <c r="AD1011" s="215">
        <f>'[2]Изложницы без бурта'!B1011</f>
        <v>377.5</v>
      </c>
      <c r="AE1011" s="215">
        <f>'[2]Изложницы без бурта'!C1011</f>
        <v>457</v>
      </c>
      <c r="AF1011" s="56">
        <f>'[2]Изложницы без бурта'!D1011</f>
        <v>500</v>
      </c>
      <c r="AG1011" s="56">
        <f>'[2]Изложницы без бурта'!E1011</f>
        <v>400</v>
      </c>
      <c r="AH1011" s="56" t="str">
        <f>'[2]Изложницы без бурта'!F1011</f>
        <v>72.48007 - 1</v>
      </c>
      <c r="AI1011" s="56">
        <f>'[2]Изложницы без бурта'!G1011</f>
        <v>0</v>
      </c>
      <c r="AJ1011" s="56">
        <f>'[2]Изложницы без бурта'!H1011</f>
        <v>0</v>
      </c>
      <c r="AK1011" s="56">
        <f>'[2]Изложницы без бурта'!I1011</f>
        <v>0</v>
      </c>
      <c r="AL1011" s="56" t="s">
        <v>683</v>
      </c>
      <c r="AM1011" s="56">
        <f>'[2]Изложницы без бурта'!K1011</f>
        <v>0</v>
      </c>
    </row>
    <row r="1012" spans="28:39" x14ac:dyDescent="0.25">
      <c r="AB1012" s="253" t="str">
        <f t="shared" si="31"/>
        <v/>
      </c>
      <c r="AC1012" s="254" t="str">
        <f>IF(COUNTIF(AD$78:AD1012,AD1012)=1,MAX(AC$78:AC1011)+1,"")</f>
        <v/>
      </c>
      <c r="AD1012" s="215">
        <f>'[2]Изложницы без бурта'!B1012</f>
        <v>377.5</v>
      </c>
      <c r="AE1012" s="215">
        <f>'[2]Изложницы без бурта'!C1012</f>
        <v>460</v>
      </c>
      <c r="AF1012" s="56">
        <f>'[2]Изложницы без бурта'!D1012</f>
        <v>500</v>
      </c>
      <c r="AG1012" s="56">
        <f>'[2]Изложницы без бурта'!E1012</f>
        <v>400</v>
      </c>
      <c r="AH1012" s="56" t="str">
        <f>'[2]Изложницы без бурта'!F1012</f>
        <v>72.48007 - 1</v>
      </c>
      <c r="AI1012" s="56">
        <f>'[2]Изложницы без бурта'!G1012</f>
        <v>0</v>
      </c>
      <c r="AJ1012" s="56">
        <f>'[2]Изложницы без бурта'!H1012</f>
        <v>0</v>
      </c>
      <c r="AK1012" s="56">
        <f>'[2]Изложницы без бурта'!I1012</f>
        <v>0</v>
      </c>
      <c r="AL1012" s="56" t="s">
        <v>683</v>
      </c>
      <c r="AM1012" s="56">
        <f>'[2]Изложницы без бурта'!K1012</f>
        <v>0</v>
      </c>
    </row>
    <row r="1013" spans="28:39" x14ac:dyDescent="0.25">
      <c r="AB1013" s="253" t="str">
        <f t="shared" si="31"/>
        <v/>
      </c>
      <c r="AC1013" s="254">
        <f>IF(COUNTIF(AD$78:AD1013,AD1013)=1,MAX(AC$78:AC1012)+1,"")</f>
        <v>110</v>
      </c>
      <c r="AD1013" s="215">
        <f>'[2]Изложницы без бурта'!B1013</f>
        <v>380</v>
      </c>
      <c r="AE1013" s="215">
        <f>'[2]Изложницы без бурта'!C1013</f>
        <v>420</v>
      </c>
      <c r="AF1013" s="56">
        <f>'[2]Изложницы без бурта'!D1013</f>
        <v>520</v>
      </c>
      <c r="AG1013" s="56">
        <f>'[2]Изложницы без бурта'!E1013</f>
        <v>400</v>
      </c>
      <c r="AH1013" s="56" t="str">
        <f>'[2]Изложницы без бурта'!F1013</f>
        <v>72.42346 - 6</v>
      </c>
      <c r="AI1013" s="56">
        <f>'[2]Изложницы без бурта'!G1013</f>
        <v>0</v>
      </c>
      <c r="AJ1013" s="56">
        <f>'[2]Изложницы без бурта'!H1013</f>
        <v>0</v>
      </c>
      <c r="AK1013" s="56">
        <f>'[2]Изложницы без бурта'!I1013</f>
        <v>0</v>
      </c>
      <c r="AL1013" s="56" t="s">
        <v>684</v>
      </c>
      <c r="AM1013" s="56">
        <f>'[2]Изложницы без бурта'!K1013</f>
        <v>0</v>
      </c>
    </row>
    <row r="1014" spans="28:39" x14ac:dyDescent="0.25">
      <c r="AB1014" s="253" t="str">
        <f t="shared" si="31"/>
        <v/>
      </c>
      <c r="AC1014" s="254" t="str">
        <f>IF(COUNTIF(AD$78:AD1014,AD1014)=1,MAX(AC$78:AC1013)+1,"")</f>
        <v/>
      </c>
      <c r="AD1014" s="215">
        <f>'[2]Изложницы без бурта'!B1014</f>
        <v>380</v>
      </c>
      <c r="AE1014" s="215">
        <f>'[2]Изложницы без бурта'!C1014</f>
        <v>460</v>
      </c>
      <c r="AF1014" s="56">
        <f>'[2]Изложницы без бурта'!D1014</f>
        <v>500</v>
      </c>
      <c r="AG1014" s="56">
        <f>'[2]Изложницы без бурта'!E1014</f>
        <v>400</v>
      </c>
      <c r="AH1014" s="56" t="str">
        <f>'[2]Изложницы без бурта'!F1014</f>
        <v>72.48007 - 2</v>
      </c>
      <c r="AI1014" s="56">
        <f>'[2]Изложницы без бурта'!G1014</f>
        <v>0</v>
      </c>
      <c r="AJ1014" s="56">
        <f>'[2]Изложницы без бурта'!H1014</f>
        <v>0</v>
      </c>
      <c r="AK1014" s="56">
        <f>'[2]Изложницы без бурта'!I1014</f>
        <v>0</v>
      </c>
      <c r="AL1014" s="56" t="s">
        <v>684</v>
      </c>
      <c r="AM1014" s="56">
        <f>'[2]Изложницы без бурта'!K1014</f>
        <v>0</v>
      </c>
    </row>
    <row r="1015" spans="28:39" x14ac:dyDescent="0.25">
      <c r="AB1015" s="253" t="str">
        <f t="shared" si="31"/>
        <v/>
      </c>
      <c r="AC1015" s="254" t="str">
        <f>IF(COUNTIF(AD$78:AD1015,AD1015)=1,MAX(AC$78:AC1014)+1,"")</f>
        <v/>
      </c>
      <c r="AD1015" s="215">
        <f>'[2]Изложницы без бурта'!B1015</f>
        <v>380</v>
      </c>
      <c r="AE1015" s="215">
        <f>'[2]Изложницы без бурта'!C1015</f>
        <v>413</v>
      </c>
      <c r="AF1015" s="56">
        <f>'[2]Изложницы без бурта'!D1015</f>
        <v>500</v>
      </c>
      <c r="AG1015" s="56">
        <f>'[2]Изложницы без бурта'!E1015</f>
        <v>400</v>
      </c>
      <c r="AH1015" s="56" t="str">
        <f>'[2]Изложницы без бурта'!F1015</f>
        <v>72.42346 - 6</v>
      </c>
      <c r="AI1015" s="56">
        <f>'[2]Изложницы без бурта'!G1015</f>
        <v>0</v>
      </c>
      <c r="AJ1015" s="56">
        <f>'[2]Изложницы без бурта'!H1015</f>
        <v>0</v>
      </c>
      <c r="AK1015" s="56">
        <f>'[2]Изложницы без бурта'!I1015</f>
        <v>0</v>
      </c>
      <c r="AL1015" s="56" t="s">
        <v>684</v>
      </c>
      <c r="AM1015" s="56">
        <f>'[2]Изложницы без бурта'!K1015</f>
        <v>0</v>
      </c>
    </row>
    <row r="1016" spans="28:39" x14ac:dyDescent="0.25">
      <c r="AB1016" s="253" t="str">
        <f t="shared" si="31"/>
        <v/>
      </c>
      <c r="AC1016" s="254" t="str">
        <f>IF(COUNTIF(AD$78:AD1016,AD1016)=1,MAX(AC$78:AC1015)+1,"")</f>
        <v/>
      </c>
      <c r="AD1016" s="215">
        <f>'[2]Изложницы без бурта'!B1016</f>
        <v>380</v>
      </c>
      <c r="AE1016" s="215">
        <f>'[2]Изложницы без бурта'!C1016</f>
        <v>540</v>
      </c>
      <c r="AF1016" s="56">
        <f>'[2]Изложницы без бурта'!D1016</f>
        <v>470</v>
      </c>
      <c r="AG1016" s="56">
        <f>'[2]Изложницы без бурта'!E1016</f>
        <v>400</v>
      </c>
      <c r="AH1016" s="56" t="str">
        <f>'[2]Изложницы без бурта'!F1016</f>
        <v>10.256074 - 1</v>
      </c>
      <c r="AI1016" s="56">
        <f>'[2]Изложницы без бурта'!G1016</f>
        <v>0</v>
      </c>
      <c r="AJ1016" s="56">
        <f>'[2]Изложницы без бурта'!H1016</f>
        <v>0</v>
      </c>
      <c r="AK1016" s="56">
        <f>'[2]Изложницы без бурта'!I1016</f>
        <v>0</v>
      </c>
      <c r="AL1016" s="56" t="s">
        <v>684</v>
      </c>
      <c r="AM1016" s="56">
        <f>'[2]Изложницы без бурта'!K1016</f>
        <v>0</v>
      </c>
    </row>
    <row r="1017" spans="28:39" x14ac:dyDescent="0.25">
      <c r="AB1017" s="253" t="str">
        <f t="shared" ref="AB1017:AB1080" si="32">IF(MAX(AC1017:AC2094)&lt;ROW(939:939),"",VLOOKUP(ROW(939:939),AC1017:AD2094,2))</f>
        <v/>
      </c>
      <c r="AC1017" s="254">
        <f>IF(COUNTIF(AD$78:AD1017,AD1017)=1,MAX(AC$78:AC1016)+1,"")</f>
        <v>111</v>
      </c>
      <c r="AD1017" s="215">
        <f>'[2]Изложницы без бурта'!B1017</f>
        <v>382.5</v>
      </c>
      <c r="AE1017" s="215">
        <f>'[2]Изложницы без бурта'!C1017</f>
        <v>540</v>
      </c>
      <c r="AF1017" s="56">
        <f>'[2]Изложницы без бурта'!D1017</f>
        <v>470</v>
      </c>
      <c r="AG1017" s="56">
        <f>'[2]Изложницы без бурта'!E1017</f>
        <v>400</v>
      </c>
      <c r="AH1017" s="56" t="str">
        <f>'[2]Изложницы без бурта'!F1017</f>
        <v>10.256074 - 2</v>
      </c>
      <c r="AI1017" s="56">
        <f>'[2]Изложницы без бурта'!G1017</f>
        <v>0</v>
      </c>
      <c r="AJ1017" s="56">
        <f>'[2]Изложницы без бурта'!H1017</f>
        <v>0</v>
      </c>
      <c r="AK1017" s="56">
        <f>'[2]Изложницы без бурта'!I1017</f>
        <v>0</v>
      </c>
      <c r="AL1017" s="56" t="s">
        <v>685</v>
      </c>
      <c r="AM1017" s="56">
        <f>'[2]Изложницы без бурта'!K1017</f>
        <v>0</v>
      </c>
    </row>
    <row r="1018" spans="28:39" x14ac:dyDescent="0.25">
      <c r="AB1018" s="253" t="str">
        <f t="shared" si="32"/>
        <v/>
      </c>
      <c r="AC1018" s="254">
        <f>IF(COUNTIF(AD$78:AD1018,AD1018)=1,MAX(AC$78:AC1017)+1,"")</f>
        <v>112</v>
      </c>
      <c r="AD1018" s="215">
        <f>'[2]Изложницы без бурта'!B1018</f>
        <v>385</v>
      </c>
      <c r="AE1018" s="215">
        <f>'[2]Изложницы без бурта'!C1018</f>
        <v>455</v>
      </c>
      <c r="AF1018" s="56">
        <f>'[2]Изложницы без бурта'!D1018</f>
        <v>500</v>
      </c>
      <c r="AG1018" s="56">
        <f>'[2]Изложницы без бурта'!E1018</f>
        <v>400</v>
      </c>
      <c r="AH1018" s="56" t="str">
        <f>'[2]Изложницы без бурта'!F1018</f>
        <v>72.48007 - 4</v>
      </c>
      <c r="AI1018" s="56">
        <f>'[2]Изложницы без бурта'!G1018</f>
        <v>0</v>
      </c>
      <c r="AJ1018" s="56">
        <f>'[2]Изложницы без бурта'!H1018</f>
        <v>0</v>
      </c>
      <c r="AK1018" s="56">
        <f>'[2]Изложницы без бурта'!I1018</f>
        <v>0</v>
      </c>
      <c r="AL1018" s="56" t="s">
        <v>686</v>
      </c>
      <c r="AM1018" s="56">
        <f>'[2]Изложницы без бурта'!K1018</f>
        <v>0</v>
      </c>
    </row>
    <row r="1019" spans="28:39" x14ac:dyDescent="0.25">
      <c r="AB1019" s="253" t="str">
        <f t="shared" si="32"/>
        <v/>
      </c>
      <c r="AC1019" s="254" t="str">
        <f>IF(COUNTIF(AD$78:AD1019,AD1019)=1,MAX(AC$78:AC1018)+1,"")</f>
        <v/>
      </c>
      <c r="AD1019" s="215">
        <f>'[2]Изложницы без бурта'!B1019</f>
        <v>385</v>
      </c>
      <c r="AE1019" s="215">
        <f>'[2]Изложницы без бурта'!C1019</f>
        <v>455</v>
      </c>
      <c r="AF1019" s="56">
        <f>'[2]Изложницы без бурта'!D1019</f>
        <v>470</v>
      </c>
      <c r="AG1019" s="56">
        <f>'[2]Изложницы без бурта'!E1019</f>
        <v>400</v>
      </c>
      <c r="AH1019" s="56" t="str">
        <f>'[2]Изложницы без бурта'!F1019</f>
        <v>72.48007 - 4</v>
      </c>
      <c r="AI1019" s="56">
        <f>'[2]Изложницы без бурта'!G1019</f>
        <v>0</v>
      </c>
      <c r="AJ1019" s="56">
        <f>'[2]Изложницы без бурта'!H1019</f>
        <v>0</v>
      </c>
      <c r="AK1019" s="56">
        <f>'[2]Изложницы без бурта'!I1019</f>
        <v>0</v>
      </c>
      <c r="AL1019" s="56" t="s">
        <v>686</v>
      </c>
      <c r="AM1019" s="56">
        <f>'[2]Изложницы без бурта'!K1019</f>
        <v>0</v>
      </c>
    </row>
    <row r="1020" spans="28:39" x14ac:dyDescent="0.25">
      <c r="AB1020" s="253" t="str">
        <f t="shared" si="32"/>
        <v/>
      </c>
      <c r="AC1020" s="254" t="str">
        <f>IF(COUNTIF(AD$78:AD1020,AD1020)=1,MAX(AC$78:AC1019)+1,"")</f>
        <v/>
      </c>
      <c r="AD1020" s="215">
        <f>'[2]Изложницы без бурта'!B1020</f>
        <v>385</v>
      </c>
      <c r="AE1020" s="215">
        <f>'[2]Изложницы без бурта'!C1020</f>
        <v>457</v>
      </c>
      <c r="AF1020" s="56">
        <f>'[2]Изложницы без бурта'!D1020</f>
        <v>500</v>
      </c>
      <c r="AG1020" s="56">
        <f>'[2]Изложницы без бурта'!E1020</f>
        <v>400</v>
      </c>
      <c r="AH1020" s="56" t="str">
        <f>'[2]Изложницы без бурта'!F1020</f>
        <v>72.48007 - 4</v>
      </c>
      <c r="AI1020" s="56">
        <f>'[2]Изложницы без бурта'!G1020</f>
        <v>0</v>
      </c>
      <c r="AJ1020" s="56">
        <f>'[2]Изложницы без бурта'!H1020</f>
        <v>0</v>
      </c>
      <c r="AK1020" s="56">
        <f>'[2]Изложницы без бурта'!I1020</f>
        <v>0</v>
      </c>
      <c r="AL1020" s="56" t="s">
        <v>686</v>
      </c>
      <c r="AM1020" s="56">
        <f>'[2]Изложницы без бурта'!K1020</f>
        <v>0</v>
      </c>
    </row>
    <row r="1021" spans="28:39" x14ac:dyDescent="0.25">
      <c r="AB1021" s="253" t="str">
        <f t="shared" si="32"/>
        <v/>
      </c>
      <c r="AC1021" s="254" t="str">
        <f>IF(COUNTIF(AD$78:AD1021,AD1021)=1,MAX(AC$78:AC1020)+1,"")</f>
        <v/>
      </c>
      <c r="AD1021" s="215">
        <f>'[2]Изложницы без бурта'!B1021</f>
        <v>385</v>
      </c>
      <c r="AE1021" s="215">
        <f>'[2]Изложницы без бурта'!C1021</f>
        <v>460</v>
      </c>
      <c r="AF1021" s="56">
        <f>'[2]Изложницы без бурта'!D1021</f>
        <v>470</v>
      </c>
      <c r="AG1021" s="56">
        <f>'[2]Изложницы без бурта'!E1021</f>
        <v>400</v>
      </c>
      <c r="AH1021" s="56" t="str">
        <f>'[2]Изложницы без бурта'!F1021</f>
        <v>72.48007 - 4</v>
      </c>
      <c r="AI1021" s="56">
        <f>'[2]Изложницы без бурта'!G1021</f>
        <v>0</v>
      </c>
      <c r="AJ1021" s="56">
        <f>'[2]Изложницы без бурта'!H1021</f>
        <v>0</v>
      </c>
      <c r="AK1021" s="56">
        <f>'[2]Изложницы без бурта'!I1021</f>
        <v>0</v>
      </c>
      <c r="AL1021" s="56" t="s">
        <v>686</v>
      </c>
      <c r="AM1021" s="56">
        <f>'[2]Изложницы без бурта'!K1021</f>
        <v>0</v>
      </c>
    </row>
    <row r="1022" spans="28:39" x14ac:dyDescent="0.25">
      <c r="AB1022" s="253" t="str">
        <f t="shared" si="32"/>
        <v/>
      </c>
      <c r="AC1022" s="254">
        <f>IF(COUNTIF(AD$78:AD1022,AD1022)=1,MAX(AC$78:AC1021)+1,"")</f>
        <v>113</v>
      </c>
      <c r="AD1022" s="215">
        <f>'[2]Изложницы без бурта'!B1022</f>
        <v>390</v>
      </c>
      <c r="AE1022" s="215">
        <f>'[2]Изложницы без бурта'!C1022</f>
        <v>453</v>
      </c>
      <c r="AF1022" s="56">
        <f>'[2]Изложницы без бурта'!D1022</f>
        <v>470</v>
      </c>
      <c r="AG1022" s="56">
        <f>'[2]Изложницы без бурта'!E1022</f>
        <v>400</v>
      </c>
      <c r="AH1022" s="56" t="str">
        <f>'[2]Изложницы без бурта'!F1022</f>
        <v>72.48007 - 6</v>
      </c>
      <c r="AI1022" s="56">
        <f>'[2]Изложницы без бурта'!G1022</f>
        <v>0</v>
      </c>
      <c r="AJ1022" s="56">
        <f>'[2]Изложницы без бурта'!H1022</f>
        <v>0</v>
      </c>
      <c r="AK1022" s="56">
        <f>'[2]Изложницы без бурта'!I1022</f>
        <v>0</v>
      </c>
      <c r="AL1022" s="56" t="s">
        <v>687</v>
      </c>
      <c r="AM1022" s="56">
        <f>'[2]Изложницы без бурта'!K1022</f>
        <v>0</v>
      </c>
    </row>
    <row r="1023" spans="28:39" x14ac:dyDescent="0.25">
      <c r="AB1023" s="253" t="str">
        <f t="shared" si="32"/>
        <v/>
      </c>
      <c r="AC1023" s="254" t="str">
        <f>IF(COUNTIF(AD$78:AD1023,AD1023)=1,MAX(AC$78:AC1022)+1,"")</f>
        <v/>
      </c>
      <c r="AD1023" s="215">
        <f>'[2]Изложницы без бурта'!B1023</f>
        <v>390</v>
      </c>
      <c r="AE1023" s="215">
        <f>'[2]Изложницы без бурта'!C1023</f>
        <v>455</v>
      </c>
      <c r="AF1023" s="56">
        <f>'[2]Изложницы без бурта'!D1023</f>
        <v>470</v>
      </c>
      <c r="AG1023" s="56">
        <f>'[2]Изложницы без бурта'!E1023</f>
        <v>400</v>
      </c>
      <c r="AH1023" s="56" t="str">
        <f>'[2]Изложницы без бурта'!F1023</f>
        <v>72.48007 - 6</v>
      </c>
      <c r="AI1023" s="56">
        <f>'[2]Изложницы без бурта'!G1023</f>
        <v>0</v>
      </c>
      <c r="AJ1023" s="56">
        <f>'[2]Изложницы без бурта'!H1023</f>
        <v>0</v>
      </c>
      <c r="AK1023" s="56">
        <f>'[2]Изложницы без бурта'!I1023</f>
        <v>0</v>
      </c>
      <c r="AL1023" s="56" t="s">
        <v>687</v>
      </c>
      <c r="AM1023" s="56">
        <f>'[2]Изложницы без бурта'!K1023</f>
        <v>0</v>
      </c>
    </row>
    <row r="1024" spans="28:39" x14ac:dyDescent="0.25">
      <c r="AB1024" s="253" t="str">
        <f t="shared" si="32"/>
        <v/>
      </c>
      <c r="AC1024" s="254">
        <f>IF(COUNTIF(AD$78:AD1024,AD1024)=1,MAX(AC$78:AC1023)+1,"")</f>
        <v>114</v>
      </c>
      <c r="AD1024" s="215">
        <f>'[2]Изложницы без бурта'!B1024</f>
        <v>392.5</v>
      </c>
      <c r="AE1024" s="215">
        <f>'[2]Изложницы без бурта'!C1024</f>
        <v>327</v>
      </c>
      <c r="AF1024" s="56">
        <f>'[2]Изложницы без бурта'!D1024</f>
        <v>520</v>
      </c>
      <c r="AG1024" s="56">
        <f>'[2]Изложницы без бурта'!E1024</f>
        <v>400</v>
      </c>
      <c r="AH1024" s="56" t="str">
        <f>'[2]Изложницы без бурта'!F1024</f>
        <v>72.45826 - 01</v>
      </c>
      <c r="AI1024" s="56">
        <f>'[2]Изложницы без бурта'!G1024</f>
        <v>7260077</v>
      </c>
      <c r="AJ1024" s="56">
        <f>'[2]Изложницы без бурта'!H1024</f>
        <v>0</v>
      </c>
      <c r="AK1024" s="56">
        <f>'[2]Изложницы без бурта'!I1024</f>
        <v>0</v>
      </c>
      <c r="AL1024" s="56" t="s">
        <v>688</v>
      </c>
      <c r="AM1024" s="56">
        <f>'[2]Изложницы без бурта'!K1024</f>
        <v>0</v>
      </c>
    </row>
    <row r="1025" spans="28:39" x14ac:dyDescent="0.25">
      <c r="AB1025" s="253" t="str">
        <f t="shared" si="32"/>
        <v/>
      </c>
      <c r="AC1025" s="254" t="str">
        <f>IF(COUNTIF(AD$78:AD1025,AD1025)=1,MAX(AC$78:AC1024)+1,"")</f>
        <v/>
      </c>
      <c r="AD1025" s="215">
        <f>'[2]Изложницы без бурта'!B1025</f>
        <v>392.5</v>
      </c>
      <c r="AE1025" s="215">
        <f>'[2]Изложницы без бурта'!C1025</f>
        <v>330</v>
      </c>
      <c r="AF1025" s="56">
        <f>'[2]Изложницы без бурта'!D1025</f>
        <v>520</v>
      </c>
      <c r="AG1025" s="56">
        <f>'[2]Изложницы без бурта'!E1025</f>
        <v>400</v>
      </c>
      <c r="AH1025" s="56" t="str">
        <f>'[2]Изложницы без бурта'!F1025</f>
        <v>72.45826 - 01</v>
      </c>
      <c r="AI1025" s="56">
        <f>'[2]Изложницы без бурта'!G1025</f>
        <v>7260077</v>
      </c>
      <c r="AJ1025" s="56">
        <f>'[2]Изложницы без бурта'!H1025</f>
        <v>0</v>
      </c>
      <c r="AK1025" s="56">
        <f>'[2]Изложницы без бурта'!I1025</f>
        <v>0</v>
      </c>
      <c r="AL1025" s="56" t="s">
        <v>688</v>
      </c>
      <c r="AM1025" s="56">
        <f>'[2]Изложницы без бурта'!K1025</f>
        <v>0</v>
      </c>
    </row>
    <row r="1026" spans="28:39" x14ac:dyDescent="0.25">
      <c r="AB1026" s="253" t="str">
        <f t="shared" si="32"/>
        <v/>
      </c>
      <c r="AC1026" s="254" t="str">
        <f>IF(COUNTIF(AD$78:AD1026,AD1026)=1,MAX(AC$78:AC1025)+1,"")</f>
        <v/>
      </c>
      <c r="AD1026" s="215">
        <f>'[2]Изложницы без бурта'!B1026</f>
        <v>392.5</v>
      </c>
      <c r="AE1026" s="215">
        <f>'[2]Изложницы без бурта'!C1026</f>
        <v>300</v>
      </c>
      <c r="AF1026" s="56">
        <f>'[2]Изложницы без бурта'!D1026</f>
        <v>520</v>
      </c>
      <c r="AG1026" s="56">
        <f>'[2]Изложницы без бурта'!E1026</f>
        <v>400</v>
      </c>
      <c r="AH1026" s="56" t="str">
        <f>'[2]Изложницы без бурта'!F1026</f>
        <v>72.37421 - 2</v>
      </c>
      <c r="AI1026" s="56">
        <f>'[2]Изложницы без бурта'!G1026</f>
        <v>0</v>
      </c>
      <c r="AJ1026" s="56">
        <f>'[2]Изложницы без бурта'!H1026</f>
        <v>0</v>
      </c>
      <c r="AK1026" s="56">
        <f>'[2]Изложницы без бурта'!I1026</f>
        <v>0</v>
      </c>
      <c r="AL1026" s="56" t="s">
        <v>688</v>
      </c>
      <c r="AM1026" s="56">
        <f>'[2]Изложницы без бурта'!K1026</f>
        <v>0</v>
      </c>
    </row>
    <row r="1027" spans="28:39" x14ac:dyDescent="0.25">
      <c r="AB1027" s="253" t="str">
        <f t="shared" si="32"/>
        <v/>
      </c>
      <c r="AC1027" s="254" t="str">
        <f>IF(COUNTIF(AD$78:AD1027,AD1027)=1,MAX(AC$78:AC1026)+1,"")</f>
        <v/>
      </c>
      <c r="AD1027" s="215">
        <f>'[2]Изложницы без бурта'!B1027</f>
        <v>392.5</v>
      </c>
      <c r="AE1027" s="215">
        <f>'[2]Изложницы без бурта'!C1027</f>
        <v>345</v>
      </c>
      <c r="AF1027" s="56">
        <f>'[2]Изложницы без бурта'!D1027</f>
        <v>470</v>
      </c>
      <c r="AG1027" s="56">
        <f>'[2]Изложницы без бурта'!E1027</f>
        <v>400</v>
      </c>
      <c r="AH1027" s="56" t="str">
        <f>'[2]Изложницы без бурта'!F1027</f>
        <v>72.45826 - 01</v>
      </c>
      <c r="AI1027" s="56">
        <f>'[2]Изложницы без бурта'!G1027</f>
        <v>7260078</v>
      </c>
      <c r="AJ1027" s="56">
        <f>'[2]Изложницы без бурта'!H1027</f>
        <v>0</v>
      </c>
      <c r="AK1027" s="56">
        <f>'[2]Изложницы без бурта'!I1027</f>
        <v>0</v>
      </c>
      <c r="AL1027" s="56" t="s">
        <v>688</v>
      </c>
      <c r="AM1027" s="56">
        <f>'[2]Изложницы без бурта'!K1027</f>
        <v>0</v>
      </c>
    </row>
    <row r="1028" spans="28:39" x14ac:dyDescent="0.25">
      <c r="AB1028" s="253" t="str">
        <f t="shared" si="32"/>
        <v/>
      </c>
      <c r="AC1028" s="254">
        <f>IF(COUNTIF(AD$78:AD1028,AD1028)=1,MAX(AC$78:AC1027)+1,"")</f>
        <v>115</v>
      </c>
      <c r="AD1028" s="215">
        <f>'[2]Изложницы без бурта'!B1028</f>
        <v>397.5</v>
      </c>
      <c r="AE1028" s="215">
        <f>'[2]Изложницы без бурта'!C1028</f>
        <v>327</v>
      </c>
      <c r="AF1028" s="56">
        <f>'[2]Изложницы без бурта'!D1028</f>
        <v>520</v>
      </c>
      <c r="AG1028" s="56">
        <f>'[2]Изложницы без бурта'!E1028</f>
        <v>400</v>
      </c>
      <c r="AH1028" s="56" t="str">
        <f>'[2]Изложницы без бурта'!F1028</f>
        <v>72.45826 - 01</v>
      </c>
      <c r="AI1028" s="56">
        <f>'[2]Изложницы без бурта'!G1028</f>
        <v>7260079</v>
      </c>
      <c r="AJ1028" s="56">
        <f>'[2]Изложницы без бурта'!H1028</f>
        <v>0</v>
      </c>
      <c r="AK1028" s="56">
        <f>'[2]Изложницы без бурта'!I1028</f>
        <v>0</v>
      </c>
      <c r="AL1028" s="56" t="s">
        <v>689</v>
      </c>
      <c r="AM1028" s="56">
        <f>'[2]Изложницы без бурта'!K1028</f>
        <v>0</v>
      </c>
    </row>
    <row r="1029" spans="28:39" x14ac:dyDescent="0.25">
      <c r="AB1029" s="253" t="str">
        <f t="shared" si="32"/>
        <v/>
      </c>
      <c r="AC1029" s="254" t="str">
        <f>IF(COUNTIF(AD$78:AD1029,AD1029)=1,MAX(AC$78:AC1028)+1,"")</f>
        <v/>
      </c>
      <c r="AD1029" s="215">
        <f>'[2]Изложницы без бурта'!B1029</f>
        <v>397.5</v>
      </c>
      <c r="AE1029" s="215">
        <f>'[2]Изложницы без бурта'!C1029</f>
        <v>228</v>
      </c>
      <c r="AF1029" s="56">
        <f>'[2]Изложницы без бурта'!D1029</f>
        <v>470</v>
      </c>
      <c r="AG1029" s="56">
        <f>'[2]Изложницы без бурта'!E1029</f>
        <v>400</v>
      </c>
      <c r="AH1029" s="56" t="str">
        <f>'[2]Изложницы без бурта'!F1029</f>
        <v>72.42344 - 1</v>
      </c>
      <c r="AI1029" s="56">
        <f>'[2]Изложницы без бурта'!G1029</f>
        <v>0</v>
      </c>
      <c r="AJ1029" s="56">
        <f>'[2]Изложницы без бурта'!H1029</f>
        <v>0</v>
      </c>
      <c r="AK1029" s="56">
        <f>'[2]Изложницы без бурта'!I1029</f>
        <v>0</v>
      </c>
      <c r="AL1029" s="56" t="s">
        <v>689</v>
      </c>
      <c r="AM1029" s="56">
        <f>'[2]Изложницы без бурта'!K1029</f>
        <v>0</v>
      </c>
    </row>
    <row r="1030" spans="28:39" x14ac:dyDescent="0.25">
      <c r="AB1030" s="253" t="str">
        <f t="shared" si="32"/>
        <v/>
      </c>
      <c r="AC1030" s="254">
        <f>IF(COUNTIF(AD$78:AD1030,AD1030)=1,MAX(AC$78:AC1029)+1,"")</f>
        <v>116</v>
      </c>
      <c r="AD1030" s="215">
        <f>'[2]Изложницы без бурта'!B1030</f>
        <v>405</v>
      </c>
      <c r="AE1030" s="215">
        <f>'[2]Изложницы без бурта'!C1030</f>
        <v>450</v>
      </c>
      <c r="AF1030" s="56">
        <f>'[2]Изложницы без бурта'!D1030</f>
        <v>470</v>
      </c>
      <c r="AG1030" s="56">
        <f>'[2]Изложницы без бурта'!E1030</f>
        <v>400</v>
      </c>
      <c r="AH1030" s="56" t="str">
        <f>'[2]Изложницы без бурта'!F1030</f>
        <v>72.48007 - 12</v>
      </c>
      <c r="AI1030" s="56">
        <f>'[2]Изложницы без бурта'!G1030</f>
        <v>7260080</v>
      </c>
      <c r="AJ1030" s="56">
        <f>'[2]Изложницы без бурта'!H1030</f>
        <v>0</v>
      </c>
      <c r="AK1030" s="56">
        <f>'[2]Изложницы без бурта'!I1030</f>
        <v>0</v>
      </c>
      <c r="AL1030" s="56" t="s">
        <v>690</v>
      </c>
      <c r="AM1030" s="56">
        <f>'[2]Изложницы без бурта'!K1030</f>
        <v>0</v>
      </c>
    </row>
    <row r="1031" spans="28:39" x14ac:dyDescent="0.25">
      <c r="AB1031" s="253" t="str">
        <f t="shared" si="32"/>
        <v/>
      </c>
      <c r="AC1031" s="254">
        <f>IF(COUNTIF(AD$78:AD1031,AD1031)=1,MAX(AC$78:AC1030)+1,"")</f>
        <v>117</v>
      </c>
      <c r="AD1031" s="215">
        <f>'[2]Изложницы без бурта'!B1031</f>
        <v>410</v>
      </c>
      <c r="AE1031" s="215">
        <f>'[2]Изложницы без бурта'!C1031</f>
        <v>470</v>
      </c>
      <c r="AF1031" s="56">
        <f>'[2]Изложницы без бурта'!D1031</f>
        <v>470</v>
      </c>
      <c r="AG1031" s="56">
        <f>'[2]Изложницы без бурта'!E1031</f>
        <v>400</v>
      </c>
      <c r="AH1031" s="56" t="str">
        <f>'[2]Изложницы без бурта'!F1031</f>
        <v>72.48005 - 9</v>
      </c>
      <c r="AI1031" s="56">
        <f>'[2]Изложницы без бурта'!G1031</f>
        <v>7260081</v>
      </c>
      <c r="AJ1031" s="56">
        <f>'[2]Изложницы без бурта'!H1031</f>
        <v>0</v>
      </c>
      <c r="AK1031" s="56">
        <f>'[2]Изложницы без бурта'!I1031</f>
        <v>0</v>
      </c>
      <c r="AL1031" s="56" t="s">
        <v>691</v>
      </c>
      <c r="AM1031" s="56">
        <f>'[2]Изложницы без бурта'!K1031</f>
        <v>0</v>
      </c>
    </row>
    <row r="1032" spans="28:39" x14ac:dyDescent="0.25">
      <c r="AB1032" s="253" t="str">
        <f t="shared" si="32"/>
        <v/>
      </c>
      <c r="AC1032" s="254">
        <f>IF(COUNTIF(AD$78:AD1032,AD1032)=1,MAX(AC$78:AC1031)+1,"")</f>
        <v>118</v>
      </c>
      <c r="AD1032" s="215">
        <f>'[2]Изложницы без бурта'!B1032</f>
        <v>412.5</v>
      </c>
      <c r="AE1032" s="215">
        <f>'[2]Изложницы без бурта'!C1032</f>
        <v>512</v>
      </c>
      <c r="AF1032" s="56">
        <f>'[2]Изложницы без бурта'!D1032</f>
        <v>500</v>
      </c>
      <c r="AG1032" s="56">
        <f>'[2]Изложницы без бурта'!E1032</f>
        <v>400</v>
      </c>
      <c r="AH1032" s="56" t="str">
        <f>'[2]Изложницы без бурта'!F1032</f>
        <v>10.247097 - 01</v>
      </c>
      <c r="AI1032" s="56">
        <f>'[2]Изложницы без бурта'!G1032</f>
        <v>7260082</v>
      </c>
      <c r="AJ1032" s="56">
        <f>'[2]Изложницы без бурта'!H1032</f>
        <v>0</v>
      </c>
      <c r="AK1032" s="56">
        <f>'[2]Изложницы без бурта'!I1032</f>
        <v>0</v>
      </c>
      <c r="AL1032" s="56" t="s">
        <v>692</v>
      </c>
      <c r="AM1032" s="56">
        <f>'[2]Изложницы без бурта'!K1032</f>
        <v>0</v>
      </c>
    </row>
    <row r="1033" spans="28:39" x14ac:dyDescent="0.25">
      <c r="AB1033" s="253" t="str">
        <f t="shared" si="32"/>
        <v/>
      </c>
      <c r="AC1033" s="254">
        <f>IF(COUNTIF(AD$78:AD1033,AD1033)=1,MAX(AC$78:AC1032)+1,"")</f>
        <v>119</v>
      </c>
      <c r="AD1033" s="215">
        <f>'[2]Изложницы без бурта'!B1033</f>
        <v>415</v>
      </c>
      <c r="AE1033" s="215">
        <f>'[2]Изложницы без бурта'!C1033</f>
        <v>275</v>
      </c>
      <c r="AF1033" s="56">
        <f>'[2]Изложницы без бурта'!D1033</f>
        <v>520</v>
      </c>
      <c r="AG1033" s="56">
        <f>'[2]Изложницы без бурта'!E1033</f>
        <v>400</v>
      </c>
      <c r="AH1033" s="56" t="str">
        <f>'[2]Изложницы без бурта'!F1033</f>
        <v>72.42346 - 5</v>
      </c>
      <c r="AI1033" s="56">
        <f>'[2]Изложницы без бурта'!G1033</f>
        <v>0</v>
      </c>
      <c r="AJ1033" s="56">
        <f>'[2]Изложницы без бурта'!H1033</f>
        <v>0</v>
      </c>
      <c r="AK1033" s="56">
        <f>'[2]Изложницы без бурта'!I1033</f>
        <v>0</v>
      </c>
      <c r="AL1033" s="56" t="s">
        <v>693</v>
      </c>
      <c r="AM1033" s="56">
        <f>'[2]Изложницы без бурта'!K1033</f>
        <v>0</v>
      </c>
    </row>
    <row r="1034" spans="28:39" x14ac:dyDescent="0.25">
      <c r="AB1034" s="253" t="str">
        <f t="shared" si="32"/>
        <v/>
      </c>
      <c r="AC1034" s="254" t="str">
        <f>IF(COUNTIF(AD$78:AD1034,AD1034)=1,MAX(AC$78:AC1033)+1,"")</f>
        <v/>
      </c>
      <c r="AD1034" s="215">
        <f>'[2]Изложницы без бурта'!B1034</f>
        <v>415</v>
      </c>
      <c r="AE1034" s="215">
        <f>'[2]Изложницы без бурта'!C1034</f>
        <v>280</v>
      </c>
      <c r="AF1034" s="56">
        <f>'[2]Изложницы без бурта'!D1034</f>
        <v>520</v>
      </c>
      <c r="AG1034" s="56">
        <f>'[2]Изложницы без бурта'!E1034</f>
        <v>400</v>
      </c>
      <c r="AH1034" s="56" t="str">
        <f>'[2]Изложницы без бурта'!F1034</f>
        <v>72.42346 - 5</v>
      </c>
      <c r="AI1034" s="56">
        <f>'[2]Изложницы без бурта'!G1034</f>
        <v>0</v>
      </c>
      <c r="AJ1034" s="56">
        <f>'[2]Изложницы без бурта'!H1034</f>
        <v>0</v>
      </c>
      <c r="AK1034" s="56">
        <f>'[2]Изложницы без бурта'!I1034</f>
        <v>0</v>
      </c>
      <c r="AL1034" s="56" t="s">
        <v>693</v>
      </c>
      <c r="AM1034" s="56">
        <f>'[2]Изложницы без бурта'!K1034</f>
        <v>0</v>
      </c>
    </row>
    <row r="1035" spans="28:39" x14ac:dyDescent="0.25">
      <c r="AB1035" s="253" t="str">
        <f t="shared" si="32"/>
        <v/>
      </c>
      <c r="AC1035" s="254" t="str">
        <f>IF(COUNTIF(AD$78:AD1035,AD1035)=1,MAX(AC$78:AC1034)+1,"")</f>
        <v/>
      </c>
      <c r="AD1035" s="215">
        <f>'[2]Изложницы без бурта'!B1035</f>
        <v>415</v>
      </c>
      <c r="AE1035" s="215">
        <f>'[2]Изложницы без бурта'!C1035</f>
        <v>275</v>
      </c>
      <c r="AF1035" s="56">
        <f>'[2]Изложницы без бурта'!D1035</f>
        <v>500</v>
      </c>
      <c r="AG1035" s="56">
        <f>'[2]Изложницы без бурта'!E1035</f>
        <v>400</v>
      </c>
      <c r="AH1035" s="56" t="str">
        <f>'[2]Изложницы без бурта'!F1035</f>
        <v>72.42346 - 5</v>
      </c>
      <c r="AI1035" s="56">
        <f>'[2]Изложницы без бурта'!G1035</f>
        <v>0</v>
      </c>
      <c r="AJ1035" s="56">
        <f>'[2]Изложницы без бурта'!H1035</f>
        <v>0</v>
      </c>
      <c r="AK1035" s="56">
        <f>'[2]Изложницы без бурта'!I1035</f>
        <v>0</v>
      </c>
      <c r="AL1035" s="56" t="s">
        <v>693</v>
      </c>
      <c r="AM1035" s="56">
        <f>'[2]Изложницы без бурта'!K1035</f>
        <v>0</v>
      </c>
    </row>
    <row r="1036" spans="28:39" x14ac:dyDescent="0.25">
      <c r="AB1036" s="253" t="str">
        <f t="shared" si="32"/>
        <v/>
      </c>
      <c r="AC1036" s="254">
        <f>IF(COUNTIF(AD$78:AD1036,AD1036)=1,MAX(AC$78:AC1035)+1,"")</f>
        <v>120</v>
      </c>
      <c r="AD1036" s="215">
        <f>'[2]Изложницы без бурта'!B1036</f>
        <v>417.5</v>
      </c>
      <c r="AE1036" s="215">
        <f>'[2]Изложницы без бурта'!C1036</f>
        <v>257</v>
      </c>
      <c r="AF1036" s="56">
        <f>'[2]Изложницы без бурта'!D1036</f>
        <v>470</v>
      </c>
      <c r="AG1036" s="56">
        <f>'[2]Изложницы без бурта'!E1036</f>
        <v>400</v>
      </c>
      <c r="AH1036" s="56" t="str">
        <f>'[2]Изложницы без бурта'!F1036</f>
        <v>72.48041 - 1</v>
      </c>
      <c r="AI1036" s="56">
        <f>'[2]Изложницы без бурта'!G1036</f>
        <v>7260083</v>
      </c>
      <c r="AJ1036" s="56">
        <f>'[2]Изложницы без бурта'!H1036</f>
        <v>0</v>
      </c>
      <c r="AK1036" s="56">
        <f>'[2]Изложницы без бурта'!I1036</f>
        <v>0</v>
      </c>
      <c r="AL1036" s="56" t="s">
        <v>694</v>
      </c>
      <c r="AM1036" s="56">
        <f>'[2]Изложницы без бурта'!K1036</f>
        <v>0</v>
      </c>
    </row>
    <row r="1037" spans="28:39" x14ac:dyDescent="0.25">
      <c r="AB1037" s="253" t="str">
        <f t="shared" si="32"/>
        <v/>
      </c>
      <c r="AC1037" s="254" t="str">
        <f>IF(COUNTIF(AD$78:AD1037,AD1037)=1,MAX(AC$78:AC1036)+1,"")</f>
        <v/>
      </c>
      <c r="AD1037" s="215">
        <f>'[2]Изложницы без бурта'!B1037</f>
        <v>417.5</v>
      </c>
      <c r="AE1037" s="215">
        <f>'[2]Изложницы без бурта'!C1037</f>
        <v>515</v>
      </c>
      <c r="AF1037" s="56">
        <f>'[2]Изложницы без бурта'!D1037</f>
        <v>520</v>
      </c>
      <c r="AG1037" s="56">
        <f>'[2]Изложницы без бурта'!E1037</f>
        <v>400</v>
      </c>
      <c r="AH1037" s="56" t="str">
        <f>'[2]Изложницы без бурта'!F1037</f>
        <v>10.247286 - 1</v>
      </c>
      <c r="AI1037" s="56">
        <f>'[2]Изложницы без бурта'!G1037</f>
        <v>0</v>
      </c>
      <c r="AJ1037" s="56">
        <f>'[2]Изложницы без бурта'!H1037</f>
        <v>0</v>
      </c>
      <c r="AK1037" s="56">
        <f>'[2]Изложницы без бурта'!I1037</f>
        <v>0</v>
      </c>
      <c r="AL1037" s="56" t="s">
        <v>694</v>
      </c>
      <c r="AM1037" s="56">
        <f>'[2]Изложницы без бурта'!K1037</f>
        <v>0</v>
      </c>
    </row>
    <row r="1038" spans="28:39" x14ac:dyDescent="0.25">
      <c r="AB1038" s="253" t="str">
        <f t="shared" si="32"/>
        <v/>
      </c>
      <c r="AC1038" s="254" t="str">
        <f>IF(COUNTIF(AD$78:AD1038,AD1038)=1,MAX(AC$78:AC1037)+1,"")</f>
        <v/>
      </c>
      <c r="AD1038" s="215">
        <f>'[2]Изложницы без бурта'!B1038</f>
        <v>417.5</v>
      </c>
      <c r="AE1038" s="215">
        <f>'[2]Изложницы без бурта'!C1038</f>
        <v>257</v>
      </c>
      <c r="AF1038" s="56">
        <f>'[2]Изложницы без бурта'!D1038</f>
        <v>470</v>
      </c>
      <c r="AG1038" s="56">
        <f>'[2]Изложницы без бурта'!E1038</f>
        <v>400</v>
      </c>
      <c r="AH1038" s="56" t="str">
        <f>'[2]Изложницы без бурта'!F1038</f>
        <v>72.48041 - 1</v>
      </c>
      <c r="AI1038" s="56">
        <f>'[2]Изложницы без бурта'!G1038</f>
        <v>0</v>
      </c>
      <c r="AJ1038" s="56">
        <f>'[2]Изложницы без бурта'!H1038</f>
        <v>0</v>
      </c>
      <c r="AK1038" s="56">
        <f>'[2]Изложницы без бурта'!I1038</f>
        <v>0</v>
      </c>
      <c r="AL1038" s="56" t="s">
        <v>694</v>
      </c>
      <c r="AM1038" s="56">
        <f>'[2]Изложницы без бурта'!K1038</f>
        <v>0</v>
      </c>
    </row>
    <row r="1039" spans="28:39" x14ac:dyDescent="0.25">
      <c r="AB1039" s="253" t="str">
        <f t="shared" si="32"/>
        <v/>
      </c>
      <c r="AC1039" s="254">
        <f>IF(COUNTIF(AD$78:AD1039,AD1039)=1,MAX(AC$78:AC1038)+1,"")</f>
        <v>121</v>
      </c>
      <c r="AD1039" s="215">
        <f>'[2]Изложницы без бурта'!B1039</f>
        <v>420</v>
      </c>
      <c r="AE1039" s="215">
        <f>'[2]Изложницы без бурта'!C1039</f>
        <v>510</v>
      </c>
      <c r="AF1039" s="56">
        <f>'[2]Изложницы без бурта'!D1039</f>
        <v>520</v>
      </c>
      <c r="AG1039" s="56">
        <f>'[2]Изложницы без бурта'!E1039</f>
        <v>400</v>
      </c>
      <c r="AH1039" s="56" t="str">
        <f>'[2]Изложницы без бурта'!F1039</f>
        <v>10.247286 - 1</v>
      </c>
      <c r="AI1039" s="56">
        <f>'[2]Изложницы без бурта'!G1039</f>
        <v>0</v>
      </c>
      <c r="AJ1039" s="56">
        <f>'[2]Изложницы без бурта'!H1039</f>
        <v>0</v>
      </c>
      <c r="AK1039" s="56">
        <f>'[2]Изложницы без бурта'!I1039</f>
        <v>0</v>
      </c>
      <c r="AL1039" s="56" t="s">
        <v>695</v>
      </c>
      <c r="AM1039" s="56">
        <f>'[2]Изложницы без бурта'!K1039</f>
        <v>0</v>
      </c>
    </row>
    <row r="1040" spans="28:39" x14ac:dyDescent="0.25">
      <c r="AB1040" s="253" t="str">
        <f t="shared" si="32"/>
        <v/>
      </c>
      <c r="AC1040" s="254" t="str">
        <f>IF(COUNTIF(AD$78:AD1040,AD1040)=1,MAX(AC$78:AC1039)+1,"")</f>
        <v/>
      </c>
      <c r="AD1040" s="215">
        <f>'[2]Изложницы без бурта'!B1040</f>
        <v>420</v>
      </c>
      <c r="AE1040" s="215">
        <f>'[2]Изложницы без бурта'!C1040</f>
        <v>300</v>
      </c>
      <c r="AF1040" s="56">
        <f>'[2]Изложницы без бурта'!D1040</f>
        <v>520</v>
      </c>
      <c r="AG1040" s="56">
        <f>'[2]Изложницы без бурта'!E1040</f>
        <v>400</v>
      </c>
      <c r="AH1040" s="56" t="str">
        <f>'[2]Изложницы без бурта'!F1040</f>
        <v>72.37421 - 1</v>
      </c>
      <c r="AI1040" s="56">
        <f>'[2]Изложницы без бурта'!G1040</f>
        <v>0</v>
      </c>
      <c r="AJ1040" s="56">
        <f>'[2]Изложницы без бурта'!H1040</f>
        <v>0</v>
      </c>
      <c r="AK1040" s="56">
        <f>'[2]Изложницы без бурта'!I1040</f>
        <v>0</v>
      </c>
      <c r="AL1040" s="56" t="s">
        <v>695</v>
      </c>
      <c r="AM1040" s="56">
        <f>'[2]Изложницы без бурта'!K1040</f>
        <v>0</v>
      </c>
    </row>
    <row r="1041" spans="28:39" x14ac:dyDescent="0.25">
      <c r="AB1041" s="253" t="str">
        <f t="shared" si="32"/>
        <v/>
      </c>
      <c r="AC1041" s="254" t="str">
        <f>IF(COUNTIF(AD$78:AD1041,AD1041)=1,MAX(AC$78:AC1040)+1,"")</f>
        <v/>
      </c>
      <c r="AD1041" s="215">
        <f>'[2]Изложницы без бурта'!B1041</f>
        <v>420</v>
      </c>
      <c r="AE1041" s="215">
        <f>'[2]Изложницы без бурта'!C1041</f>
        <v>295</v>
      </c>
      <c r="AF1041" s="56">
        <f>'[2]Изложницы без бурта'!D1041</f>
        <v>520</v>
      </c>
      <c r="AG1041" s="56">
        <f>'[2]Изложницы без бурта'!E1041</f>
        <v>400</v>
      </c>
      <c r="AH1041" s="56" t="str">
        <f>'[2]Изложницы без бурта'!F1041</f>
        <v>72.37421 - 1</v>
      </c>
      <c r="AI1041" s="56">
        <f>'[2]Изложницы без бурта'!G1041</f>
        <v>0</v>
      </c>
      <c r="AJ1041" s="56">
        <f>'[2]Изложницы без бурта'!H1041</f>
        <v>0</v>
      </c>
      <c r="AK1041" s="56">
        <f>'[2]Изложницы без бурта'!I1041</f>
        <v>0</v>
      </c>
      <c r="AL1041" s="56" t="s">
        <v>695</v>
      </c>
      <c r="AM1041" s="56">
        <f>'[2]Изложницы без бурта'!K1041</f>
        <v>0</v>
      </c>
    </row>
    <row r="1042" spans="28:39" x14ac:dyDescent="0.25">
      <c r="AB1042" s="253" t="str">
        <f t="shared" si="32"/>
        <v/>
      </c>
      <c r="AC1042" s="254" t="str">
        <f>IF(COUNTIF(AD$78:AD1042,AD1042)=1,MAX(AC$78:AC1041)+1,"")</f>
        <v/>
      </c>
      <c r="AD1042" s="215">
        <f>'[2]Изложницы без бурта'!B1042</f>
        <v>420</v>
      </c>
      <c r="AE1042" s="215">
        <f>'[2]Изложницы без бурта'!C1042</f>
        <v>260</v>
      </c>
      <c r="AF1042" s="56">
        <f>'[2]Изложницы без бурта'!D1042</f>
        <v>500</v>
      </c>
      <c r="AG1042" s="56">
        <f>'[2]Изложницы без бурта'!E1042</f>
        <v>400</v>
      </c>
      <c r="AH1042" s="56" t="str">
        <f>'[2]Изложницы без бурта'!F1042</f>
        <v>72.48041 - 2</v>
      </c>
      <c r="AI1042" s="56">
        <f>'[2]Изложницы без бурта'!G1042</f>
        <v>0</v>
      </c>
      <c r="AJ1042" s="56">
        <f>'[2]Изложницы без бурта'!H1042</f>
        <v>0</v>
      </c>
      <c r="AK1042" s="56">
        <f>'[2]Изложницы без бурта'!I1042</f>
        <v>0</v>
      </c>
      <c r="AL1042" s="56" t="s">
        <v>695</v>
      </c>
      <c r="AM1042" s="56">
        <f>'[2]Изложницы без бурта'!K1042</f>
        <v>0</v>
      </c>
    </row>
    <row r="1043" spans="28:39" x14ac:dyDescent="0.25">
      <c r="AB1043" s="253" t="str">
        <f t="shared" si="32"/>
        <v/>
      </c>
      <c r="AC1043" s="254" t="str">
        <f>IF(COUNTIF(AD$78:AD1043,AD1043)=1,MAX(AC$78:AC1042)+1,"")</f>
        <v/>
      </c>
      <c r="AD1043" s="215">
        <f>'[2]Изложницы без бурта'!B1043</f>
        <v>420</v>
      </c>
      <c r="AE1043" s="215">
        <f>'[2]Изложницы без бурта'!C1043</f>
        <v>260</v>
      </c>
      <c r="AF1043" s="56">
        <f>'[2]Изложницы без бурта'!D1043</f>
        <v>500</v>
      </c>
      <c r="AG1043" s="56">
        <f>'[2]Изложницы без бурта'!E1043</f>
        <v>400</v>
      </c>
      <c r="AH1043" s="56" t="str">
        <f>'[2]Изложницы без бурта'!F1043</f>
        <v>72.48041 - 2</v>
      </c>
      <c r="AI1043" s="56">
        <f>'[2]Изложницы без бурта'!G1043</f>
        <v>0</v>
      </c>
      <c r="AJ1043" s="56">
        <f>'[2]Изложницы без бурта'!H1043</f>
        <v>0</v>
      </c>
      <c r="AK1043" s="56">
        <f>'[2]Изложницы без бурта'!I1043</f>
        <v>0</v>
      </c>
      <c r="AL1043" s="56" t="s">
        <v>695</v>
      </c>
      <c r="AM1043" s="56">
        <f>'[2]Изложницы без бурта'!K1043</f>
        <v>0</v>
      </c>
    </row>
    <row r="1044" spans="28:39" x14ac:dyDescent="0.25">
      <c r="AB1044" s="253" t="str">
        <f t="shared" si="32"/>
        <v/>
      </c>
      <c r="AC1044" s="254" t="str">
        <f>IF(COUNTIF(AD$78:AD1044,AD1044)=1,MAX(AC$78:AC1043)+1,"")</f>
        <v/>
      </c>
      <c r="AD1044" s="215">
        <f>'[2]Изложницы без бурта'!B1044</f>
        <v>420</v>
      </c>
      <c r="AE1044" s="215">
        <f>'[2]Изложницы без бурта'!C1044</f>
        <v>300</v>
      </c>
      <c r="AF1044" s="56">
        <f>'[2]Изложницы без бурта'!D1044</f>
        <v>520</v>
      </c>
      <c r="AG1044" s="56">
        <f>'[2]Изложницы без бурта'!E1044</f>
        <v>400</v>
      </c>
      <c r="AH1044" s="56" t="str">
        <f>'[2]Изложницы без бурта'!F1044</f>
        <v>72.37421 - 1</v>
      </c>
      <c r="AI1044" s="56">
        <f>'[2]Изложницы без бурта'!G1044</f>
        <v>0</v>
      </c>
      <c r="AJ1044" s="56">
        <f>'[2]Изложницы без бурта'!H1044</f>
        <v>0</v>
      </c>
      <c r="AK1044" s="56">
        <f>'[2]Изложницы без бурта'!I1044</f>
        <v>0</v>
      </c>
      <c r="AL1044" s="56" t="s">
        <v>695</v>
      </c>
      <c r="AM1044" s="56">
        <f>'[2]Изложницы без бурта'!K1044</f>
        <v>0</v>
      </c>
    </row>
    <row r="1045" spans="28:39" x14ac:dyDescent="0.25">
      <c r="AB1045" s="253" t="str">
        <f t="shared" si="32"/>
        <v/>
      </c>
      <c r="AC1045" s="254" t="str">
        <f>IF(COUNTIF(AD$78:AD1045,AD1045)=1,MAX(AC$78:AC1044)+1,"")</f>
        <v/>
      </c>
      <c r="AD1045" s="215">
        <f>'[2]Изложницы без бурта'!B1045</f>
        <v>420</v>
      </c>
      <c r="AE1045" s="215">
        <f>'[2]Изложницы без бурта'!C1045</f>
        <v>245</v>
      </c>
      <c r="AF1045" s="56">
        <f>'[2]Изложницы без бурта'!D1045</f>
        <v>500</v>
      </c>
      <c r="AG1045" s="56">
        <f>'[2]Изложницы без бурта'!E1045</f>
        <v>400</v>
      </c>
      <c r="AH1045" s="56" t="str">
        <f>'[2]Изложницы без бурта'!F1045</f>
        <v>72.48041 - 2</v>
      </c>
      <c r="AI1045" s="56">
        <f>'[2]Изложницы без бурта'!G1045</f>
        <v>0</v>
      </c>
      <c r="AJ1045" s="56">
        <f>'[2]Изложницы без бурта'!H1045</f>
        <v>0</v>
      </c>
      <c r="AK1045" s="56">
        <f>'[2]Изложницы без бурта'!I1045</f>
        <v>0</v>
      </c>
      <c r="AL1045" s="56" t="s">
        <v>695</v>
      </c>
      <c r="AM1045" s="56">
        <f>'[2]Изложницы без бурта'!K1045</f>
        <v>0</v>
      </c>
    </row>
    <row r="1046" spans="28:39" x14ac:dyDescent="0.25">
      <c r="AB1046" s="253" t="str">
        <f t="shared" si="32"/>
        <v/>
      </c>
      <c r="AC1046" s="254" t="str">
        <f>IF(COUNTIF(AD$78:AD1046,AD1046)=1,MAX(AC$78:AC1045)+1,"")</f>
        <v/>
      </c>
      <c r="AD1046" s="215">
        <f>'[2]Изложницы без бурта'!B1046</f>
        <v>420</v>
      </c>
      <c r="AE1046" s="215">
        <f>'[2]Изложницы без бурта'!C1046</f>
        <v>257</v>
      </c>
      <c r="AF1046" s="56">
        <f>'[2]Изложницы без бурта'!D1046</f>
        <v>500</v>
      </c>
      <c r="AG1046" s="56">
        <f>'[2]Изложницы без бурта'!E1046</f>
        <v>400</v>
      </c>
      <c r="AH1046" s="56" t="str">
        <f>'[2]Изложницы без бурта'!F1046</f>
        <v>72.48041 - 2</v>
      </c>
      <c r="AI1046" s="56">
        <f>'[2]Изложницы без бурта'!G1046</f>
        <v>0</v>
      </c>
      <c r="AJ1046" s="56">
        <f>'[2]Изложницы без бурта'!H1046</f>
        <v>0</v>
      </c>
      <c r="AK1046" s="56">
        <f>'[2]Изложницы без бурта'!I1046</f>
        <v>0</v>
      </c>
      <c r="AL1046" s="56" t="s">
        <v>695</v>
      </c>
      <c r="AM1046" s="56">
        <f>'[2]Изложницы без бурта'!K1046</f>
        <v>0</v>
      </c>
    </row>
    <row r="1047" spans="28:39" x14ac:dyDescent="0.25">
      <c r="AB1047" s="253" t="str">
        <f t="shared" si="32"/>
        <v/>
      </c>
      <c r="AC1047" s="254" t="str">
        <f>IF(COUNTIF(AD$78:AD1047,AD1047)=1,MAX(AC$78:AC1046)+1,"")</f>
        <v/>
      </c>
      <c r="AD1047" s="215">
        <f>'[2]Изложницы без бурта'!B1047</f>
        <v>420</v>
      </c>
      <c r="AE1047" s="215">
        <f>'[2]Изложницы без бурта'!C1047</f>
        <v>300</v>
      </c>
      <c r="AF1047" s="56">
        <f>'[2]Изложницы без бурта'!D1047</f>
        <v>520</v>
      </c>
      <c r="AG1047" s="56">
        <f>'[2]Изложницы без бурта'!E1047</f>
        <v>400</v>
      </c>
      <c r="AH1047" s="56" t="str">
        <f>'[2]Изложницы без бурта'!F1047</f>
        <v>72.37421 - 1</v>
      </c>
      <c r="AI1047" s="56">
        <f>'[2]Изложницы без бурта'!G1047</f>
        <v>0</v>
      </c>
      <c r="AJ1047" s="56">
        <f>'[2]Изложницы без бурта'!H1047</f>
        <v>0</v>
      </c>
      <c r="AK1047" s="56">
        <f>'[2]Изложницы без бурта'!I1047</f>
        <v>0</v>
      </c>
      <c r="AL1047" s="56" t="s">
        <v>695</v>
      </c>
      <c r="AM1047" s="56">
        <f>'[2]Изложницы без бурта'!K1047</f>
        <v>0</v>
      </c>
    </row>
    <row r="1048" spans="28:39" x14ac:dyDescent="0.25">
      <c r="AB1048" s="253" t="str">
        <f t="shared" si="32"/>
        <v/>
      </c>
      <c r="AC1048" s="254">
        <f>IF(COUNTIF(AD$78:AD1048,AD1048)=1,MAX(AC$78:AC1047)+1,"")</f>
        <v>122</v>
      </c>
      <c r="AD1048" s="215">
        <f>'[2]Изложницы без бурта'!B1048</f>
        <v>425</v>
      </c>
      <c r="AE1048" s="215">
        <f>'[2]Изложницы без бурта'!C1048</f>
        <v>333</v>
      </c>
      <c r="AF1048" s="56">
        <f>'[2]Изложницы без бурта'!D1048</f>
        <v>520</v>
      </c>
      <c r="AG1048" s="56">
        <f>'[2]Изложницы без бурта'!E1048</f>
        <v>400</v>
      </c>
      <c r="AH1048" s="56" t="str">
        <f>'[2]Изложницы без бурта'!F1048</f>
        <v>72.45826 - 1</v>
      </c>
      <c r="AI1048" s="56">
        <f>'[2]Изложницы без бурта'!G1048</f>
        <v>0</v>
      </c>
      <c r="AJ1048" s="56">
        <f>'[2]Изложницы без бурта'!H1048</f>
        <v>0</v>
      </c>
      <c r="AK1048" s="56">
        <f>'[2]Изложницы без бурта'!I1048</f>
        <v>0</v>
      </c>
      <c r="AL1048" s="56" t="s">
        <v>696</v>
      </c>
      <c r="AM1048" s="56">
        <f>'[2]Изложницы без бурта'!K1048</f>
        <v>0</v>
      </c>
    </row>
    <row r="1049" spans="28:39" x14ac:dyDescent="0.25">
      <c r="AB1049" s="253" t="str">
        <f t="shared" si="32"/>
        <v/>
      </c>
      <c r="AC1049" s="254" t="str">
        <f>IF(COUNTIF(AD$78:AD1049,AD1049)=1,MAX(AC$78:AC1048)+1,"")</f>
        <v/>
      </c>
      <c r="AD1049" s="215">
        <f>'[2]Изложницы без бурта'!B1049</f>
        <v>425</v>
      </c>
      <c r="AE1049" s="215">
        <f>'[2]Изложницы без бурта'!C1049</f>
        <v>335</v>
      </c>
      <c r="AF1049" s="56">
        <f>'[2]Изложницы без бурта'!D1049</f>
        <v>520</v>
      </c>
      <c r="AG1049" s="56">
        <f>'[2]Изложницы без бурта'!E1049</f>
        <v>400</v>
      </c>
      <c r="AH1049" s="56" t="str">
        <f>'[2]Изложницы без бурта'!F1049</f>
        <v>72.45826 - 1</v>
      </c>
      <c r="AI1049" s="56">
        <f>'[2]Изложницы без бурта'!G1049</f>
        <v>0</v>
      </c>
      <c r="AJ1049" s="56">
        <f>'[2]Изложницы без бурта'!H1049</f>
        <v>0</v>
      </c>
      <c r="AK1049" s="56">
        <f>'[2]Изложницы без бурта'!I1049</f>
        <v>0</v>
      </c>
      <c r="AL1049" s="56" t="s">
        <v>696</v>
      </c>
      <c r="AM1049" s="56">
        <f>'[2]Изложницы без бурта'!K1049</f>
        <v>0</v>
      </c>
    </row>
    <row r="1050" spans="28:39" x14ac:dyDescent="0.25">
      <c r="AB1050" s="253" t="str">
        <f t="shared" si="32"/>
        <v/>
      </c>
      <c r="AC1050" s="254">
        <f>IF(COUNTIF(AD$78:AD1050,AD1050)=1,MAX(AC$78:AC1049)+1,"")</f>
        <v>123</v>
      </c>
      <c r="AD1050" s="215">
        <f>'[2]Изложницы без бурта'!B1050</f>
        <v>427.5</v>
      </c>
      <c r="AE1050" s="215">
        <f>'[2]Изложницы без бурта'!C1050</f>
        <v>335</v>
      </c>
      <c r="AF1050" s="56">
        <f>'[2]Изложницы без бурта'!D1050</f>
        <v>520</v>
      </c>
      <c r="AG1050" s="56">
        <f>'[2]Изложницы без бурта'!E1050</f>
        <v>400</v>
      </c>
      <c r="AH1050" s="56" t="str">
        <f>'[2]Изложницы без бурта'!F1050</f>
        <v>72.45826 - 2</v>
      </c>
      <c r="AI1050" s="56">
        <f>'[2]Изложницы без бурта'!G1050</f>
        <v>0</v>
      </c>
      <c r="AJ1050" s="56">
        <f>'[2]Изложницы без бурта'!H1050</f>
        <v>0</v>
      </c>
      <c r="AK1050" s="56">
        <f>'[2]Изложницы без бурта'!I1050</f>
        <v>0</v>
      </c>
      <c r="AL1050" s="56" t="s">
        <v>697</v>
      </c>
      <c r="AM1050" s="56">
        <f>'[2]Изложницы без бурта'!K1050</f>
        <v>0</v>
      </c>
    </row>
    <row r="1051" spans="28:39" x14ac:dyDescent="0.25">
      <c r="AB1051" s="253" t="str">
        <f t="shared" si="32"/>
        <v/>
      </c>
      <c r="AC1051" s="254" t="str">
        <f>IF(COUNTIF(AD$78:AD1051,AD1051)=1,MAX(AC$78:AC1050)+1,"")</f>
        <v/>
      </c>
      <c r="AD1051" s="215">
        <f>'[2]Изложницы без бурта'!B1051</f>
        <v>427.5</v>
      </c>
      <c r="AE1051" s="215">
        <f>'[2]Изложницы без бурта'!C1051</f>
        <v>505</v>
      </c>
      <c r="AF1051" s="56">
        <f>'[2]Изложницы без бурта'!D1051</f>
        <v>520</v>
      </c>
      <c r="AG1051" s="56">
        <f>'[2]Изложницы без бурта'!E1051</f>
        <v>400</v>
      </c>
      <c r="AH1051" s="56" t="str">
        <f>'[2]Изложницы без бурта'!F1051</f>
        <v>10.245114 - 1</v>
      </c>
      <c r="AI1051" s="56">
        <f>'[2]Изложницы без бурта'!G1051</f>
        <v>0</v>
      </c>
      <c r="AJ1051" s="56">
        <f>'[2]Изложницы без бурта'!H1051</f>
        <v>0</v>
      </c>
      <c r="AK1051" s="56">
        <f>'[2]Изложницы без бурта'!I1051</f>
        <v>0</v>
      </c>
      <c r="AL1051" s="56" t="s">
        <v>697</v>
      </c>
      <c r="AM1051" s="56">
        <f>'[2]Изложницы без бурта'!K1051</f>
        <v>0</v>
      </c>
    </row>
    <row r="1052" spans="28:39" x14ac:dyDescent="0.25">
      <c r="AB1052" s="253" t="str">
        <f t="shared" si="32"/>
        <v/>
      </c>
      <c r="AC1052" s="254">
        <f>IF(COUNTIF(AD$78:AD1052,AD1052)=1,MAX(AC$78:AC1051)+1,"")</f>
        <v>124</v>
      </c>
      <c r="AD1052" s="215">
        <f>'[2]Изложницы без бурта'!B1052</f>
        <v>430</v>
      </c>
      <c r="AE1052" s="215">
        <f>'[2]Изложницы без бурта'!C1052</f>
        <v>180</v>
      </c>
      <c r="AF1052" s="56">
        <f>'[2]Изложницы без бурта'!D1052</f>
        <v>520</v>
      </c>
      <c r="AG1052" s="56">
        <f>'[2]Изложницы без бурта'!E1052</f>
        <v>400</v>
      </c>
      <c r="AH1052" s="56" t="str">
        <f>'[2]Изложницы без бурта'!F1052</f>
        <v>72.42346 - 2</v>
      </c>
      <c r="AI1052" s="56">
        <f>'[2]Изложницы без бурта'!G1052</f>
        <v>0</v>
      </c>
      <c r="AJ1052" s="56">
        <f>'[2]Изложницы без бурта'!H1052</f>
        <v>0</v>
      </c>
      <c r="AK1052" s="56">
        <f>'[2]Изложницы без бурта'!I1052</f>
        <v>0</v>
      </c>
      <c r="AL1052" s="56" t="s">
        <v>698</v>
      </c>
      <c r="AM1052" s="56">
        <f>'[2]Изложницы без бурта'!K1052</f>
        <v>0</v>
      </c>
    </row>
    <row r="1053" spans="28:39" x14ac:dyDescent="0.25">
      <c r="AB1053" s="253" t="str">
        <f t="shared" si="32"/>
        <v/>
      </c>
      <c r="AC1053" s="254" t="str">
        <f>IF(COUNTIF(AD$78:AD1053,AD1053)=1,MAX(AC$78:AC1052)+1,"")</f>
        <v/>
      </c>
      <c r="AD1053" s="215">
        <f>'[2]Изложницы без бурта'!B1053</f>
        <v>430</v>
      </c>
      <c r="AE1053" s="215">
        <f>'[2]Изложницы без бурта'!C1053</f>
        <v>550</v>
      </c>
      <c r="AF1053" s="56">
        <f>'[2]Изложницы без бурта'!D1053</f>
        <v>550</v>
      </c>
      <c r="AG1053" s="56">
        <f>'[2]Изложницы без бурта'!E1053</f>
        <v>400</v>
      </c>
      <c r="AH1053" s="56" t="str">
        <f>'[2]Изложницы без бурта'!F1053</f>
        <v>72.47252 - 01</v>
      </c>
      <c r="AI1053" s="56">
        <f>'[2]Изложницы без бурта'!G1053</f>
        <v>7260084</v>
      </c>
      <c r="AJ1053" s="56">
        <f>'[2]Изложницы без бурта'!H1053</f>
        <v>0</v>
      </c>
      <c r="AK1053" s="56">
        <f>'[2]Изложницы без бурта'!I1053</f>
        <v>0</v>
      </c>
      <c r="AL1053" s="56" t="s">
        <v>698</v>
      </c>
      <c r="AM1053" s="56">
        <f>'[2]Изложницы без бурта'!K1053</f>
        <v>0</v>
      </c>
    </row>
    <row r="1054" spans="28:39" x14ac:dyDescent="0.25">
      <c r="AB1054" s="253" t="str">
        <f t="shared" si="32"/>
        <v/>
      </c>
      <c r="AC1054" s="254" t="str">
        <f>IF(COUNTIF(AD$78:AD1054,AD1054)=1,MAX(AC$78:AC1053)+1,"")</f>
        <v/>
      </c>
      <c r="AD1054" s="215">
        <f>'[2]Изложницы без бурта'!B1054</f>
        <v>430</v>
      </c>
      <c r="AE1054" s="215">
        <f>'[2]Изложницы без бурта'!C1054</f>
        <v>612</v>
      </c>
      <c r="AF1054" s="56">
        <f>'[2]Изложницы без бурта'!D1054</f>
        <v>500</v>
      </c>
      <c r="AG1054" s="56">
        <f>'[2]Изложницы без бурта'!E1054</f>
        <v>400</v>
      </c>
      <c r="AH1054" s="56" t="str">
        <f>'[2]Изложницы без бурта'!F1054</f>
        <v>10.254085 - 01</v>
      </c>
      <c r="AI1054" s="56">
        <f>'[2]Изложницы без бурта'!G1054</f>
        <v>7260085</v>
      </c>
      <c r="AJ1054" s="56">
        <f>'[2]Изложницы без бурта'!H1054</f>
        <v>0</v>
      </c>
      <c r="AK1054" s="56">
        <f>'[2]Изложницы без бурта'!I1054</f>
        <v>0</v>
      </c>
      <c r="AL1054" s="56" t="s">
        <v>698</v>
      </c>
      <c r="AM1054" s="56">
        <f>'[2]Изложницы без бурта'!K1054</f>
        <v>0</v>
      </c>
    </row>
    <row r="1055" spans="28:39" x14ac:dyDescent="0.25">
      <c r="AB1055" s="253" t="str">
        <f t="shared" si="32"/>
        <v/>
      </c>
      <c r="AC1055" s="254">
        <f>IF(COUNTIF(AD$78:AD1055,AD1055)=1,MAX(AC$78:AC1054)+1,"")</f>
        <v>125</v>
      </c>
      <c r="AD1055" s="215">
        <f>'[2]Изложницы без бурта'!B1055</f>
        <v>432.5</v>
      </c>
      <c r="AE1055" s="215">
        <f>'[2]Изложницы без бурта'!C1055</f>
        <v>510</v>
      </c>
      <c r="AF1055" s="56">
        <f>'[2]Изложницы без бурта'!D1055</f>
        <v>520</v>
      </c>
      <c r="AG1055" s="56">
        <f>'[2]Изложницы без бурта'!E1055</f>
        <v>400</v>
      </c>
      <c r="AH1055" s="56" t="str">
        <f>'[2]Изложницы без бурта'!F1055</f>
        <v>10.247097 - 1</v>
      </c>
      <c r="AI1055" s="56">
        <f>'[2]Изложницы без бурта'!G1055</f>
        <v>0</v>
      </c>
      <c r="AJ1055" s="56">
        <f>'[2]Изложницы без бурта'!H1055</f>
        <v>0</v>
      </c>
      <c r="AK1055" s="56">
        <f>'[2]Изложницы без бурта'!I1055</f>
        <v>0</v>
      </c>
      <c r="AL1055" s="56" t="s">
        <v>699</v>
      </c>
      <c r="AM1055" s="56">
        <f>'[2]Изложницы без бурта'!K1055</f>
        <v>0</v>
      </c>
    </row>
    <row r="1056" spans="28:39" x14ac:dyDescent="0.25">
      <c r="AB1056" s="253" t="str">
        <f t="shared" si="32"/>
        <v/>
      </c>
      <c r="AC1056" s="254">
        <f>IF(COUNTIF(AD$78:AD1056,AD1056)=1,MAX(AC$78:AC1055)+1,"")</f>
        <v>126</v>
      </c>
      <c r="AD1056" s="215">
        <f>'[2]Изложницы без бурта'!B1056</f>
        <v>440</v>
      </c>
      <c r="AE1056" s="215">
        <f>'[2]Изложницы без бурта'!C1056</f>
        <v>255</v>
      </c>
      <c r="AF1056" s="56">
        <f>'[2]Изложницы без бурта'!D1056</f>
        <v>550</v>
      </c>
      <c r="AG1056" s="56">
        <f>'[2]Изложницы без бурта'!E1056</f>
        <v>400</v>
      </c>
      <c r="AH1056" s="56" t="str">
        <f>'[2]Изложницы без бурта'!F1056</f>
        <v>10.540085 - 1</v>
      </c>
      <c r="AI1056" s="56">
        <f>'[2]Изложницы без бурта'!G1056</f>
        <v>0</v>
      </c>
      <c r="AJ1056" s="56">
        <f>'[2]Изложницы без бурта'!H1056</f>
        <v>0</v>
      </c>
      <c r="AK1056" s="56">
        <f>'[2]Изложницы без бурта'!I1056</f>
        <v>0</v>
      </c>
      <c r="AL1056" s="56" t="s">
        <v>700</v>
      </c>
      <c r="AM1056" s="56">
        <f>'[2]Изложницы без бурта'!K1056</f>
        <v>0</v>
      </c>
    </row>
    <row r="1057" spans="28:39" x14ac:dyDescent="0.25">
      <c r="AB1057" s="253" t="str">
        <f t="shared" si="32"/>
        <v/>
      </c>
      <c r="AC1057" s="254" t="str">
        <f>IF(COUNTIF(AD$78:AD1057,AD1057)=1,MAX(AC$78:AC1056)+1,"")</f>
        <v/>
      </c>
      <c r="AD1057" s="215">
        <f>'[2]Изложницы без бурта'!B1057</f>
        <v>440</v>
      </c>
      <c r="AE1057" s="215">
        <f>'[2]Изложницы без бурта'!C1057</f>
        <v>265</v>
      </c>
      <c r="AF1057" s="56">
        <f>'[2]Изложницы без бурта'!D1057</f>
        <v>550</v>
      </c>
      <c r="AG1057" s="56">
        <f>'[2]Изложницы без бурта'!E1057</f>
        <v>400</v>
      </c>
      <c r="AH1057" s="56" t="str">
        <f>'[2]Изложницы без бурта'!F1057</f>
        <v>10.540085 - 1</v>
      </c>
      <c r="AI1057" s="56">
        <f>'[2]Изложницы без бурта'!G1057</f>
        <v>0</v>
      </c>
      <c r="AJ1057" s="56">
        <f>'[2]Изложницы без бурта'!H1057</f>
        <v>0</v>
      </c>
      <c r="AK1057" s="56">
        <f>'[2]Изложницы без бурта'!I1057</f>
        <v>0</v>
      </c>
      <c r="AL1057" s="56" t="s">
        <v>700</v>
      </c>
      <c r="AM1057" s="56">
        <f>'[2]Изложницы без бурта'!K1057</f>
        <v>0</v>
      </c>
    </row>
    <row r="1058" spans="28:39" x14ac:dyDescent="0.25">
      <c r="AB1058" s="253" t="str">
        <f t="shared" si="32"/>
        <v/>
      </c>
      <c r="AC1058" s="254" t="str">
        <f>IF(COUNTIF(AD$78:AD1058,AD1058)=1,MAX(AC$78:AC1057)+1,"")</f>
        <v/>
      </c>
      <c r="AD1058" s="215">
        <f>'[2]Изложницы без бурта'!B1058</f>
        <v>440</v>
      </c>
      <c r="AE1058" s="215">
        <f>'[2]Изложницы без бурта'!C1058</f>
        <v>513</v>
      </c>
      <c r="AF1058" s="56">
        <f>'[2]Изложницы без бурта'!D1058</f>
        <v>500</v>
      </c>
      <c r="AG1058" s="56">
        <f>'[2]Изложницы без бурта'!E1058</f>
        <v>400</v>
      </c>
      <c r="AH1058" s="56" t="str">
        <f>'[2]Изложницы без бурта'!F1058</f>
        <v>10.247097 - 3</v>
      </c>
      <c r="AI1058" s="56">
        <f>'[2]Изложницы без бурта'!G1058</f>
        <v>7260086</v>
      </c>
      <c r="AJ1058" s="56">
        <f>'[2]Изложницы без бурта'!H1058</f>
        <v>0</v>
      </c>
      <c r="AK1058" s="56">
        <f>'[2]Изложницы без бурта'!I1058</f>
        <v>0</v>
      </c>
      <c r="AL1058" s="56" t="s">
        <v>700</v>
      </c>
      <c r="AM1058" s="56">
        <f>'[2]Изложницы без бурта'!K1058</f>
        <v>0</v>
      </c>
    </row>
    <row r="1059" spans="28:39" x14ac:dyDescent="0.25">
      <c r="AB1059" s="253" t="str">
        <f t="shared" si="32"/>
        <v/>
      </c>
      <c r="AC1059" s="254" t="str">
        <f>IF(COUNTIF(AD$78:AD1059,AD1059)=1,MAX(AC$78:AC1058)+1,"")</f>
        <v/>
      </c>
      <c r="AD1059" s="215">
        <f>'[2]Изложницы без бурта'!B1059</f>
        <v>440</v>
      </c>
      <c r="AE1059" s="215">
        <f>'[2]Изложницы без бурта'!C1059</f>
        <v>512</v>
      </c>
      <c r="AF1059" s="56">
        <f>'[2]Изложницы без бурта'!D1059</f>
        <v>500</v>
      </c>
      <c r="AG1059" s="56">
        <f>'[2]Изложницы без бурта'!E1059</f>
        <v>400</v>
      </c>
      <c r="AH1059" s="56" t="str">
        <f>'[2]Изложницы без бурта'!F1059</f>
        <v>10.247097 - 3</v>
      </c>
      <c r="AI1059" s="56">
        <f>'[2]Изложницы без бурта'!G1059</f>
        <v>7260086</v>
      </c>
      <c r="AJ1059" s="56">
        <f>'[2]Изложницы без бурта'!H1059</f>
        <v>0</v>
      </c>
      <c r="AK1059" s="56">
        <f>'[2]Изложницы без бурта'!I1059</f>
        <v>0</v>
      </c>
      <c r="AL1059" s="56" t="s">
        <v>700</v>
      </c>
      <c r="AM1059" s="56">
        <f>'[2]Изложницы без бурта'!K1059</f>
        <v>0</v>
      </c>
    </row>
    <row r="1060" spans="28:39" x14ac:dyDescent="0.25">
      <c r="AB1060" s="253" t="str">
        <f t="shared" si="32"/>
        <v/>
      </c>
      <c r="AC1060" s="254" t="str">
        <f>IF(COUNTIF(AD$78:AD1060,AD1060)=1,MAX(AC$78:AC1059)+1,"")</f>
        <v/>
      </c>
      <c r="AD1060" s="215">
        <f>'[2]Изложницы без бурта'!B1060</f>
        <v>440</v>
      </c>
      <c r="AE1060" s="215">
        <f>'[2]Изложницы без бурта'!C1060</f>
        <v>505</v>
      </c>
      <c r="AF1060" s="56">
        <f>'[2]Изложницы без бурта'!D1060</f>
        <v>500</v>
      </c>
      <c r="AG1060" s="56">
        <f>'[2]Изложницы без бурта'!E1060</f>
        <v>400</v>
      </c>
      <c r="AH1060" s="56" t="str">
        <f>'[2]Изложницы без бурта'!F1060</f>
        <v>10.247097 - 1</v>
      </c>
      <c r="AI1060" s="56">
        <f>'[2]Изложницы без бурта'!G1060</f>
        <v>7260086</v>
      </c>
      <c r="AJ1060" s="56">
        <f>'[2]Изложницы без бурта'!H1060</f>
        <v>0</v>
      </c>
      <c r="AK1060" s="56">
        <f>'[2]Изложницы без бурта'!I1060</f>
        <v>0</v>
      </c>
      <c r="AL1060" s="56" t="s">
        <v>700</v>
      </c>
      <c r="AM1060" s="56">
        <f>'[2]Изложницы без бурта'!K1060</f>
        <v>0</v>
      </c>
    </row>
    <row r="1061" spans="28:39" x14ac:dyDescent="0.25">
      <c r="AB1061" s="253" t="str">
        <f t="shared" si="32"/>
        <v/>
      </c>
      <c r="AC1061" s="254">
        <f>IF(COUNTIF(AD$78:AD1061,AD1061)=1,MAX(AC$78:AC1060)+1,"")</f>
        <v>127</v>
      </c>
      <c r="AD1061" s="215">
        <f>'[2]Изложницы без бурта'!B1061</f>
        <v>442.5</v>
      </c>
      <c r="AE1061" s="215">
        <f>'[2]Изложницы без бурта'!C1061</f>
        <v>160</v>
      </c>
      <c r="AF1061" s="56">
        <f>'[2]Изложницы без бурта'!D1061</f>
        <v>520</v>
      </c>
      <c r="AG1061" s="56">
        <f>'[2]Изложницы без бурта'!E1061</f>
        <v>400</v>
      </c>
      <c r="AH1061" s="56" t="str">
        <f>'[2]Изложницы без бурта'!F1061</f>
        <v>72.471147 - 2</v>
      </c>
      <c r="AI1061" s="56">
        <f>'[2]Изложницы без бурта'!G1061</f>
        <v>0</v>
      </c>
      <c r="AJ1061" s="56">
        <f>'[2]Изложницы без бурта'!H1061</f>
        <v>0</v>
      </c>
      <c r="AK1061" s="56">
        <f>'[2]Изложницы без бурта'!I1061</f>
        <v>0</v>
      </c>
      <c r="AL1061" s="56" t="s">
        <v>701</v>
      </c>
      <c r="AM1061" s="56">
        <f>'[2]Изложницы без бурта'!K1061</f>
        <v>0</v>
      </c>
    </row>
    <row r="1062" spans="28:39" x14ac:dyDescent="0.25">
      <c r="AB1062" s="253" t="str">
        <f t="shared" si="32"/>
        <v/>
      </c>
      <c r="AC1062" s="254" t="str">
        <f>IF(COUNTIF(AD$78:AD1062,AD1062)=1,MAX(AC$78:AC1061)+1,"")</f>
        <v/>
      </c>
      <c r="AD1062" s="215">
        <f>'[2]Изложницы без бурта'!B1062</f>
        <v>442.5</v>
      </c>
      <c r="AE1062" s="215">
        <f>'[2]Изложницы без бурта'!C1062</f>
        <v>355</v>
      </c>
      <c r="AF1062" s="56">
        <f>'[2]Изложницы без бурта'!D1062</f>
        <v>520</v>
      </c>
      <c r="AG1062" s="56">
        <f>'[2]Изложницы без бурта'!E1062</f>
        <v>400</v>
      </c>
      <c r="AH1062" s="56" t="str">
        <f>'[2]Изложницы без бурта'!F1062</f>
        <v>72.47730 - 1</v>
      </c>
      <c r="AI1062" s="56">
        <f>'[2]Изложницы без бурта'!G1062</f>
        <v>0</v>
      </c>
      <c r="AJ1062" s="56">
        <f>'[2]Изложницы без бурта'!H1062</f>
        <v>0</v>
      </c>
      <c r="AK1062" s="56">
        <f>'[2]Изложницы без бурта'!I1062</f>
        <v>0</v>
      </c>
      <c r="AL1062" s="56" t="s">
        <v>701</v>
      </c>
      <c r="AM1062" s="56">
        <f>'[2]Изложницы без бурта'!K1062</f>
        <v>0</v>
      </c>
    </row>
    <row r="1063" spans="28:39" x14ac:dyDescent="0.25">
      <c r="AB1063" s="253" t="str">
        <f t="shared" si="32"/>
        <v/>
      </c>
      <c r="AC1063" s="254">
        <f>IF(COUNTIF(AD$78:AD1063,AD1063)=1,MAX(AC$78:AC1062)+1,"")</f>
        <v>128</v>
      </c>
      <c r="AD1063" s="215">
        <f>'[2]Изложницы без бурта'!B1063</f>
        <v>445</v>
      </c>
      <c r="AE1063" s="215">
        <f>'[2]Изложницы без бурта'!C1063</f>
        <v>160</v>
      </c>
      <c r="AF1063" s="56">
        <f>'[2]Изложницы без бурта'!D1063</f>
        <v>520</v>
      </c>
      <c r="AG1063" s="56">
        <f>'[2]Изложницы без бурта'!E1063</f>
        <v>400</v>
      </c>
      <c r="AH1063" s="56" t="str">
        <f>'[2]Изложницы без бурта'!F1063</f>
        <v>72.471147 - 3</v>
      </c>
      <c r="AI1063" s="56">
        <f>'[2]Изложницы без бурта'!G1063</f>
        <v>0</v>
      </c>
      <c r="AJ1063" s="56">
        <f>'[2]Изложницы без бурта'!H1063</f>
        <v>0</v>
      </c>
      <c r="AK1063" s="56">
        <f>'[2]Изложницы без бурта'!I1063</f>
        <v>0</v>
      </c>
      <c r="AL1063" s="56" t="s">
        <v>702</v>
      </c>
      <c r="AM1063" s="56">
        <f>'[2]Изложницы без бурта'!K1063</f>
        <v>0</v>
      </c>
    </row>
    <row r="1064" spans="28:39" x14ac:dyDescent="0.25">
      <c r="AB1064" s="253" t="str">
        <f t="shared" si="32"/>
        <v/>
      </c>
      <c r="AC1064" s="254" t="str">
        <f>IF(COUNTIF(AD$78:AD1064,AD1064)=1,MAX(AC$78:AC1063)+1,"")</f>
        <v/>
      </c>
      <c r="AD1064" s="215">
        <f>'[2]Изложницы без бурта'!B1064</f>
        <v>445</v>
      </c>
      <c r="AE1064" s="215">
        <f>'[2]Изложницы без бурта'!C1064</f>
        <v>160</v>
      </c>
      <c r="AF1064" s="56">
        <f>'[2]Изложницы без бурта'!D1064</f>
        <v>520</v>
      </c>
      <c r="AG1064" s="56">
        <f>'[2]Изложницы без бурта'!E1064</f>
        <v>400</v>
      </c>
      <c r="AH1064" s="56" t="str">
        <f>'[2]Изложницы без бурта'!F1064</f>
        <v>72.471147 - 3</v>
      </c>
      <c r="AI1064" s="56">
        <f>'[2]Изложницы без бурта'!G1064</f>
        <v>0</v>
      </c>
      <c r="AJ1064" s="56">
        <f>'[2]Изложницы без бурта'!H1064</f>
        <v>0</v>
      </c>
      <c r="AK1064" s="56">
        <f>'[2]Изложницы без бурта'!I1064</f>
        <v>0</v>
      </c>
      <c r="AL1064" s="56" t="s">
        <v>702</v>
      </c>
      <c r="AM1064" s="56">
        <f>'[2]Изложницы без бурта'!K1064</f>
        <v>0</v>
      </c>
    </row>
    <row r="1065" spans="28:39" x14ac:dyDescent="0.25">
      <c r="AB1065" s="253" t="str">
        <f t="shared" si="32"/>
        <v/>
      </c>
      <c r="AC1065" s="254" t="str">
        <f>IF(COUNTIF(AD$78:AD1065,AD1065)=1,MAX(AC$78:AC1064)+1,"")</f>
        <v/>
      </c>
      <c r="AD1065" s="215">
        <f>'[2]Изложницы без бурта'!B1065</f>
        <v>445</v>
      </c>
      <c r="AE1065" s="215">
        <f>'[2]Изложницы без бурта'!C1065</f>
        <v>160</v>
      </c>
      <c r="AF1065" s="56">
        <f>'[2]Изложницы без бурта'!D1065</f>
        <v>520</v>
      </c>
      <c r="AG1065" s="56">
        <f>'[2]Изложницы без бурта'!E1065</f>
        <v>400</v>
      </c>
      <c r="AH1065" s="56" t="str">
        <f>'[2]Изложницы без бурта'!F1065</f>
        <v>72.471147 - 3</v>
      </c>
      <c r="AI1065" s="56">
        <f>'[2]Изложницы без бурта'!G1065</f>
        <v>0</v>
      </c>
      <c r="AJ1065" s="56">
        <f>'[2]Изложницы без бурта'!H1065</f>
        <v>0</v>
      </c>
      <c r="AK1065" s="56">
        <f>'[2]Изложницы без бурта'!I1065</f>
        <v>0</v>
      </c>
      <c r="AL1065" s="56" t="s">
        <v>702</v>
      </c>
      <c r="AM1065" s="56">
        <f>'[2]Изложницы без бурта'!K1065</f>
        <v>0</v>
      </c>
    </row>
    <row r="1066" spans="28:39" x14ac:dyDescent="0.25">
      <c r="AB1066" s="253" t="str">
        <f t="shared" si="32"/>
        <v/>
      </c>
      <c r="AC1066" s="254" t="str">
        <f>IF(COUNTIF(AD$78:AD1066,AD1066)=1,MAX(AC$78:AC1065)+1,"")</f>
        <v/>
      </c>
      <c r="AD1066" s="215">
        <f>'[2]Изложницы без бурта'!B1066</f>
        <v>445</v>
      </c>
      <c r="AE1066" s="215">
        <f>'[2]Изложницы без бурта'!C1066</f>
        <v>160</v>
      </c>
      <c r="AF1066" s="56">
        <f>'[2]Изложницы без бурта'!D1066</f>
        <v>520</v>
      </c>
      <c r="AG1066" s="56">
        <f>'[2]Изложницы без бурта'!E1066</f>
        <v>400</v>
      </c>
      <c r="AH1066" s="56" t="str">
        <f>'[2]Изложницы без бурта'!F1066</f>
        <v>72.471147 - 3</v>
      </c>
      <c r="AI1066" s="56">
        <f>'[2]Изложницы без бурта'!G1066</f>
        <v>0</v>
      </c>
      <c r="AJ1066" s="56">
        <f>'[2]Изложницы без бурта'!H1066</f>
        <v>0</v>
      </c>
      <c r="AK1066" s="56">
        <f>'[2]Изложницы без бурта'!I1066</f>
        <v>0</v>
      </c>
      <c r="AL1066" s="56" t="s">
        <v>702</v>
      </c>
      <c r="AM1066" s="56">
        <f>'[2]Изложницы без бурта'!K1066</f>
        <v>0</v>
      </c>
    </row>
    <row r="1067" spans="28:39" x14ac:dyDescent="0.25">
      <c r="AB1067" s="253" t="str">
        <f t="shared" si="32"/>
        <v/>
      </c>
      <c r="AC1067" s="254" t="str">
        <f>IF(COUNTIF(AD$78:AD1067,AD1067)=1,MAX(AC$78:AC1066)+1,"")</f>
        <v/>
      </c>
      <c r="AD1067" s="215">
        <f>'[2]Изложницы без бурта'!B1067</f>
        <v>445</v>
      </c>
      <c r="AE1067" s="215">
        <f>'[2]Изложницы без бурта'!C1067</f>
        <v>1140</v>
      </c>
      <c r="AF1067" s="56" t="str">
        <f>'[2]Изложницы без бурта'!D1067</f>
        <v>530 (индивидуально)</v>
      </c>
      <c r="AG1067" s="56" t="str">
        <f>'[2]Изложницы без бурта'!E1067</f>
        <v>300 (17 машина)</v>
      </c>
      <c r="AH1067" s="56">
        <f>'[2]Изложницы без бурта'!F1067</f>
        <v>0</v>
      </c>
      <c r="AI1067" s="56" t="str">
        <f>'[2]Изложницы без бурта'!G1067</f>
        <v>800÷900 об/мин</v>
      </c>
      <c r="AJ1067" s="56" t="str">
        <f>'[2]Изложницы без бурта'!H1067</f>
        <v>з/к черт.34.20220210-002 (фзал=300)</v>
      </c>
      <c r="AK1067" s="56">
        <f>'[2]Изложницы без бурта'!I1067</f>
        <v>0</v>
      </c>
      <c r="AL1067" s="56" t="e">
        <v>#N/A</v>
      </c>
      <c r="AM1067" s="56">
        <f>'[2]Изложницы без бурта'!K1067</f>
        <v>0</v>
      </c>
    </row>
    <row r="1068" spans="28:39" x14ac:dyDescent="0.25">
      <c r="AB1068" s="253" t="str">
        <f t="shared" si="32"/>
        <v/>
      </c>
      <c r="AC1068" s="254">
        <f>IF(COUNTIF(AD$78:AD1068,AD1068)=1,MAX(AC$78:AC1067)+1,"")</f>
        <v>129</v>
      </c>
      <c r="AD1068" s="215">
        <f>'[2]Изложницы без бурта'!B1068</f>
        <v>447.5</v>
      </c>
      <c r="AE1068" s="215">
        <f>'[2]Изложницы без бурта'!C1068</f>
        <v>160</v>
      </c>
      <c r="AF1068" s="56">
        <f>'[2]Изложницы без бурта'!D1068</f>
        <v>520</v>
      </c>
      <c r="AG1068" s="56">
        <f>'[2]Изложницы без бурта'!E1068</f>
        <v>400</v>
      </c>
      <c r="AH1068" s="56" t="str">
        <f>'[2]Изложницы без бурта'!F1068</f>
        <v>72.471147 - 4</v>
      </c>
      <c r="AI1068" s="56">
        <f>'[2]Изложницы без бурта'!G1068</f>
        <v>0</v>
      </c>
      <c r="AJ1068" s="56">
        <f>'[2]Изложницы без бурта'!H1068</f>
        <v>0</v>
      </c>
      <c r="AK1068" s="56">
        <f>'[2]Изложницы без бурта'!I1068</f>
        <v>0</v>
      </c>
      <c r="AL1068" s="56" t="s">
        <v>703</v>
      </c>
      <c r="AM1068" s="56">
        <f>'[2]Изложницы без бурта'!K1068</f>
        <v>0</v>
      </c>
    </row>
    <row r="1069" spans="28:39" x14ac:dyDescent="0.25">
      <c r="AB1069" s="253" t="str">
        <f t="shared" si="32"/>
        <v/>
      </c>
      <c r="AC1069" s="254">
        <f>IF(COUNTIF(AD$78:AD1069,AD1069)=1,MAX(AC$78:AC1068)+1,"")</f>
        <v>130</v>
      </c>
      <c r="AD1069" s="215">
        <f>'[2]Изложницы без бурта'!B1069</f>
        <v>457.5</v>
      </c>
      <c r="AE1069" s="215">
        <f>'[2]Изложницы без бурта'!C1069</f>
        <v>540</v>
      </c>
      <c r="AF1069" s="56">
        <f>'[2]Изложницы без бурта'!D1069</f>
        <v>520</v>
      </c>
      <c r="AG1069" s="56">
        <f>'[2]Изложницы без бурта'!E1069</f>
        <v>400</v>
      </c>
      <c r="AH1069" s="56" t="str">
        <f>'[2]Изложницы без бурта'!F1069</f>
        <v>10.256050 - 11</v>
      </c>
      <c r="AI1069" s="56">
        <f>'[2]Изложницы без бурта'!G1069</f>
        <v>0</v>
      </c>
      <c r="AJ1069" s="56" t="str">
        <f>'[2]Изложницы без бурта'!H1069</f>
        <v xml:space="preserve"> с днищем</v>
      </c>
      <c r="AK1069" s="56">
        <f>'[2]Изложницы без бурта'!I1069</f>
        <v>0</v>
      </c>
      <c r="AL1069" s="56" t="s">
        <v>704</v>
      </c>
      <c r="AM1069" s="56">
        <f>'[2]Изложницы без бурта'!K1069</f>
        <v>0</v>
      </c>
    </row>
    <row r="1070" spans="28:39" x14ac:dyDescent="0.25">
      <c r="AB1070" s="253" t="str">
        <f t="shared" si="32"/>
        <v/>
      </c>
      <c r="AC1070" s="254">
        <f>IF(COUNTIF(AD$78:AD1070,AD1070)=1,MAX(AC$78:AC1069)+1,"")</f>
        <v>131</v>
      </c>
      <c r="AD1070" s="215">
        <f>'[2]Изложницы без бурта'!B1070</f>
        <v>460</v>
      </c>
      <c r="AE1070" s="215">
        <f>'[2]Изложницы без бурта'!C1070</f>
        <v>218</v>
      </c>
      <c r="AF1070" s="56">
        <f>'[2]Изложницы без бурта'!D1070</f>
        <v>520</v>
      </c>
      <c r="AG1070" s="56">
        <f>'[2]Изложницы без бурта'!E1070</f>
        <v>400</v>
      </c>
      <c r="AH1070" s="56" t="str">
        <f>'[2]Изложницы без бурта'!F1070</f>
        <v>72.42346 - 1</v>
      </c>
      <c r="AI1070" s="56">
        <f>'[2]Изложницы без бурта'!G1070</f>
        <v>0</v>
      </c>
      <c r="AJ1070" s="56">
        <f>'[2]Изложницы без бурта'!H1070</f>
        <v>0</v>
      </c>
      <c r="AK1070" s="56">
        <f>'[2]Изложницы без бурта'!I1070</f>
        <v>0</v>
      </c>
      <c r="AL1070" s="56" t="s">
        <v>705</v>
      </c>
      <c r="AM1070" s="56">
        <f>'[2]Изложницы без бурта'!K1070</f>
        <v>0</v>
      </c>
    </row>
    <row r="1071" spans="28:39" x14ac:dyDescent="0.25">
      <c r="AB1071" s="253" t="str">
        <f t="shared" si="32"/>
        <v/>
      </c>
      <c r="AC1071" s="254">
        <f>IF(COUNTIF(AD$78:AD1071,AD1071)=1,MAX(AC$78:AC1070)+1,"")</f>
        <v>132</v>
      </c>
      <c r="AD1071" s="215">
        <f>'[2]Изложницы без бурта'!B1071</f>
        <v>475</v>
      </c>
      <c r="AE1071" s="215">
        <f>'[2]Изложницы без бурта'!C1071</f>
        <v>270</v>
      </c>
      <c r="AF1071" s="56">
        <f>'[2]Изложницы без бурта'!D1071</f>
        <v>520</v>
      </c>
      <c r="AG1071" s="56">
        <f>'[2]Изложницы без бурта'!E1071</f>
        <v>400</v>
      </c>
      <c r="AH1071" s="56" t="str">
        <f>'[2]Изложницы без бурта'!F1071</f>
        <v>72.47345 - 1</v>
      </c>
      <c r="AI1071" s="56">
        <f>'[2]Изложницы без бурта'!G1071</f>
        <v>0</v>
      </c>
      <c r="AJ1071" s="56">
        <f>'[2]Изложницы без бурта'!H1071</f>
        <v>0</v>
      </c>
      <c r="AK1071" s="56">
        <f>'[2]Изложницы без бурта'!I1071</f>
        <v>0</v>
      </c>
      <c r="AL1071" s="56" t="s">
        <v>706</v>
      </c>
      <c r="AM1071" s="56">
        <f>'[2]Изложницы без бурта'!K1071</f>
        <v>0</v>
      </c>
    </row>
    <row r="1072" spans="28:39" x14ac:dyDescent="0.25">
      <c r="AB1072" s="253" t="str">
        <f t="shared" si="32"/>
        <v/>
      </c>
      <c r="AC1072" s="254" t="str">
        <f>IF(COUNTIF(AD$78:AD1072,AD1072)=1,MAX(AC$78:AC1071)+1,"")</f>
        <v/>
      </c>
      <c r="AD1072" s="215">
        <f>'[2]Изложницы без бурта'!B1072</f>
        <v>475</v>
      </c>
      <c r="AE1072" s="215">
        <f>'[2]Изложницы без бурта'!C1072</f>
        <v>397</v>
      </c>
      <c r="AF1072" s="56">
        <f>'[2]Изложницы без бурта'!D1072</f>
        <v>520</v>
      </c>
      <c r="AG1072" s="56">
        <f>'[2]Изложницы без бурта'!E1072</f>
        <v>400</v>
      </c>
      <c r="AH1072" s="56" t="str">
        <f>'[2]Изложницы без бурта'!F1072</f>
        <v>10.242291 - 2</v>
      </c>
      <c r="AI1072" s="56">
        <f>'[2]Изложницы без бурта'!G1072</f>
        <v>7260087</v>
      </c>
      <c r="AJ1072" s="56" t="str">
        <f>'[2]Изложницы без бурта'!H1072</f>
        <v>Кокиля нет</v>
      </c>
      <c r="AK1072" s="56">
        <f>'[2]Изложницы без бурта'!I1072</f>
        <v>0</v>
      </c>
      <c r="AL1072" s="56" t="s">
        <v>706</v>
      </c>
      <c r="AM1072" s="56">
        <f>'[2]Изложницы без бурта'!K1072</f>
        <v>0</v>
      </c>
    </row>
    <row r="1073" spans="28:39" x14ac:dyDescent="0.25">
      <c r="AB1073" s="253" t="str">
        <f t="shared" si="32"/>
        <v/>
      </c>
      <c r="AC1073" s="254">
        <f>IF(COUNTIF(AD$78:AD1073,AD1073)=1,MAX(AC$78:AC1072)+1,"")</f>
        <v>133</v>
      </c>
      <c r="AD1073" s="215">
        <f>'[2]Изложницы без бурта'!B1073</f>
        <v>480</v>
      </c>
      <c r="AE1073" s="215">
        <f>'[2]Изложницы без бурта'!C1073</f>
        <v>630</v>
      </c>
      <c r="AF1073" s="56">
        <f>'[2]Изложницы без бурта'!D1073</f>
        <v>610</v>
      </c>
      <c r="AG1073" s="56">
        <f>'[2]Изложницы без бурта'!E1073</f>
        <v>400</v>
      </c>
      <c r="AH1073" s="56" t="str">
        <f>'[2]Изложницы без бурта'!F1073</f>
        <v>10.240268 - 1</v>
      </c>
      <c r="AI1073" s="56">
        <f>'[2]Изложницы без бурта'!G1073</f>
        <v>0</v>
      </c>
      <c r="AJ1073" s="56" t="str">
        <f>'[2]Изложницы без бурта'!H1073</f>
        <v>З/к. ф=120,0 (посадка 610) сейчас нет</v>
      </c>
      <c r="AK1073" s="56">
        <f>'[2]Изложницы без бурта'!I1073</f>
        <v>0</v>
      </c>
      <c r="AL1073" s="56" t="s">
        <v>707</v>
      </c>
      <c r="AM1073" s="56">
        <f>'[2]Изложницы без бурта'!K1073</f>
        <v>0</v>
      </c>
    </row>
    <row r="1074" spans="28:39" x14ac:dyDescent="0.25">
      <c r="AB1074" s="253" t="str">
        <f t="shared" si="32"/>
        <v/>
      </c>
      <c r="AC1074" s="254" t="str">
        <f>IF(COUNTIF(AD$78:AD1074,AD1074)=1,MAX(AC$78:AC1073)+1,"")</f>
        <v/>
      </c>
      <c r="AD1074" s="215">
        <f>'[2]Изложницы без бурта'!B1074</f>
        <v>480</v>
      </c>
      <c r="AE1074" s="215">
        <f>'[2]Изложницы без бурта'!C1074</f>
        <v>630</v>
      </c>
      <c r="AF1074" s="56">
        <f>'[2]Изложницы без бурта'!D1074</f>
        <v>610</v>
      </c>
      <c r="AG1074" s="56">
        <f>'[2]Изложницы без бурта'!E1074</f>
        <v>400</v>
      </c>
      <c r="AH1074" s="56" t="str">
        <f>'[2]Изложницы без бурта'!F1074</f>
        <v>10.240268 - 1</v>
      </c>
      <c r="AI1074" s="56">
        <f>'[2]Изложницы без бурта'!G1074</f>
        <v>0</v>
      </c>
      <c r="AJ1074" s="56">
        <f>'[2]Изложницы без бурта'!H1074</f>
        <v>0</v>
      </c>
      <c r="AK1074" s="56">
        <f>'[2]Изложницы без бурта'!I1074</f>
        <v>0</v>
      </c>
      <c r="AL1074" s="56" t="s">
        <v>707</v>
      </c>
      <c r="AM1074" s="56">
        <f>'[2]Изложницы без бурта'!K1074</f>
        <v>0</v>
      </c>
    </row>
    <row r="1075" spans="28:39" x14ac:dyDescent="0.25">
      <c r="AB1075" s="253" t="str">
        <f t="shared" si="32"/>
        <v/>
      </c>
      <c r="AC1075" s="254">
        <f>IF(COUNTIF(AD$78:AD1075,AD1075)=1,MAX(AC$78:AC1074)+1,"")</f>
        <v>134</v>
      </c>
      <c r="AD1075" s="215">
        <f>'[2]Изложницы без бурта'!B1075</f>
        <v>482.5</v>
      </c>
      <c r="AE1075" s="215">
        <f>'[2]Изложницы без бурта'!C1075</f>
        <v>633</v>
      </c>
      <c r="AF1075" s="56">
        <f>'[2]Изложницы без бурта'!D1075</f>
        <v>610</v>
      </c>
      <c r="AG1075" s="56">
        <f>'[2]Изложницы без бурта'!E1075</f>
        <v>400</v>
      </c>
      <c r="AH1075" s="56" t="str">
        <f>'[2]Изложницы без бурта'!F1075</f>
        <v>10.240268 - 1</v>
      </c>
      <c r="AI1075" s="56">
        <f>'[2]Изложницы без бурта'!G1075</f>
        <v>0</v>
      </c>
      <c r="AJ1075" s="56">
        <f>'[2]Изложницы без бурта'!H1075</f>
        <v>0</v>
      </c>
      <c r="AK1075" s="56">
        <f>'[2]Изложницы без бурта'!I1075</f>
        <v>0</v>
      </c>
      <c r="AL1075" s="56" t="s">
        <v>708</v>
      </c>
      <c r="AM1075" s="56">
        <f>'[2]Изложницы без бурта'!K1075</f>
        <v>0</v>
      </c>
    </row>
    <row r="1076" spans="28:39" x14ac:dyDescent="0.25">
      <c r="AB1076" s="253" t="str">
        <f t="shared" si="32"/>
        <v/>
      </c>
      <c r="AC1076" s="254">
        <f>IF(COUNTIF(AD$78:AD1076,AD1076)=1,MAX(AC$78:AC1075)+1,"")</f>
        <v>135</v>
      </c>
      <c r="AD1076" s="215">
        <f>'[2]Изложницы без бурта'!B1076</f>
        <v>495</v>
      </c>
      <c r="AE1076" s="215">
        <f>'[2]Изложницы без бурта'!C1076</f>
        <v>375</v>
      </c>
      <c r="AF1076" s="56">
        <f>'[2]Изложницы без бурта'!D1076</f>
        <v>550</v>
      </c>
      <c r="AG1076" s="56">
        <f>'[2]Изложницы без бурта'!E1076</f>
        <v>400</v>
      </c>
      <c r="AH1076" s="56" t="str">
        <f>'[2]Изложницы без бурта'!F1076</f>
        <v>72.47928 - 1</v>
      </c>
      <c r="AI1076" s="56">
        <f>'[2]Изложницы без бурта'!G1076</f>
        <v>0</v>
      </c>
      <c r="AJ1076" s="56" t="str">
        <f>'[2]Изложницы без бурта'!H1076</f>
        <v xml:space="preserve">Кокиль без дна - Н.Н. - 10.01.22 </v>
      </c>
      <c r="AK1076" s="56">
        <f>'[2]Изложницы без бурта'!I1076</f>
        <v>0</v>
      </c>
      <c r="AL1076" s="56" t="s">
        <v>709</v>
      </c>
      <c r="AM1076" s="56">
        <f>'[2]Изложницы без бурта'!K1076</f>
        <v>0</v>
      </c>
    </row>
    <row r="1077" spans="28:39" x14ac:dyDescent="0.25">
      <c r="AB1077" s="253" t="str">
        <f t="shared" si="32"/>
        <v/>
      </c>
      <c r="AC1077" s="254" t="str">
        <f>IF(COUNTIF(AD$78:AD1077,AD1077)=1,MAX(AC$78:AC1076)+1,"")</f>
        <v/>
      </c>
      <c r="AD1077" s="215">
        <f>'[2]Изложницы без бурта'!B1077</f>
        <v>495</v>
      </c>
      <c r="AE1077" s="215">
        <f>'[2]Изложницы без бурта'!C1077</f>
        <v>380</v>
      </c>
      <c r="AF1077" s="56">
        <f>'[2]Изложницы без бурта'!D1077</f>
        <v>550</v>
      </c>
      <c r="AG1077" s="56">
        <f>'[2]Изложницы без бурта'!E1077</f>
        <v>400</v>
      </c>
      <c r="AH1077" s="56" t="str">
        <f>'[2]Изложницы без бурта'!F1077</f>
        <v>72.47928 - 1</v>
      </c>
      <c r="AI1077" s="56">
        <f>'[2]Изложницы без бурта'!G1077</f>
        <v>0</v>
      </c>
      <c r="AJ1077" s="56">
        <f>'[2]Изложницы без бурта'!H1077</f>
        <v>0</v>
      </c>
      <c r="AK1077" s="56">
        <f>'[2]Изложницы без бурта'!I1077</f>
        <v>0</v>
      </c>
      <c r="AL1077" s="56" t="s">
        <v>709</v>
      </c>
      <c r="AM1077" s="56">
        <f>'[2]Изложницы без бурта'!K1077</f>
        <v>0</v>
      </c>
    </row>
    <row r="1078" spans="28:39" x14ac:dyDescent="0.25">
      <c r="AB1078" s="253" t="str">
        <f t="shared" si="32"/>
        <v/>
      </c>
      <c r="AC1078" s="254">
        <f>IF(COUNTIF(AD$78:AD1078,AD1078)=1,MAX(AC$78:AC1077)+1,"")</f>
        <v>136</v>
      </c>
      <c r="AD1078" s="215">
        <f>'[2]Изложницы без бурта'!B1078</f>
        <v>500</v>
      </c>
      <c r="AE1078" s="215">
        <f>'[2]Изложницы без бурта'!C1078</f>
        <v>128</v>
      </c>
      <c r="AF1078" s="56">
        <f>'[2]Изложницы без бурта'!D1078</f>
        <v>610</v>
      </c>
      <c r="AG1078" s="56">
        <f>'[2]Изложницы без бурта'!E1078</f>
        <v>400</v>
      </c>
      <c r="AH1078" s="56" t="str">
        <f>'[2]Изложницы без бурта'!F1078</f>
        <v>10.240586 - 1</v>
      </c>
      <c r="AI1078" s="56">
        <f>'[2]Изложницы без бурта'!G1078</f>
        <v>0</v>
      </c>
      <c r="AJ1078" s="56">
        <f>'[2]Изложницы без бурта'!H1078</f>
        <v>0</v>
      </c>
      <c r="AK1078" s="56">
        <f>'[2]Изложницы без бурта'!I1078</f>
        <v>0</v>
      </c>
      <c r="AL1078" s="56" t="s">
        <v>710</v>
      </c>
      <c r="AM1078" s="56">
        <f>'[2]Изложницы без бурта'!K1078</f>
        <v>0</v>
      </c>
    </row>
    <row r="1079" spans="28:39" x14ac:dyDescent="0.25">
      <c r="AB1079" s="253" t="str">
        <f t="shared" si="32"/>
        <v/>
      </c>
      <c r="AC1079" s="254" t="str">
        <f>IF(COUNTIF(AD$78:AD1079,AD1079)=1,MAX(AC$78:AC1078)+1,"")</f>
        <v/>
      </c>
      <c r="AD1079" s="215">
        <f>'[2]Изложницы без бурта'!B1079</f>
        <v>500</v>
      </c>
      <c r="AE1079" s="215">
        <f>'[2]Изложницы без бурта'!C1079</f>
        <v>680</v>
      </c>
      <c r="AF1079" s="56">
        <f>'[2]Изложницы без бурта'!D1079</f>
        <v>610</v>
      </c>
      <c r="AG1079" s="56">
        <f>'[2]Изложницы без бурта'!E1079</f>
        <v>400</v>
      </c>
      <c r="AH1079" s="56" t="str">
        <f>'[2]Изложницы без бурта'!F1079</f>
        <v>24.271247 - 1</v>
      </c>
      <c r="AI1079" s="56">
        <f>'[2]Изложницы без бурта'!G1079</f>
        <v>0</v>
      </c>
      <c r="AJ1079" s="56">
        <f>'[2]Изложницы без бурта'!H1079</f>
        <v>0</v>
      </c>
      <c r="AK1079" s="56">
        <f>'[2]Изложницы без бурта'!I1079</f>
        <v>0</v>
      </c>
      <c r="AL1079" s="56" t="s">
        <v>710</v>
      </c>
      <c r="AM1079" s="56">
        <f>'[2]Изложницы без бурта'!K1079</f>
        <v>0</v>
      </c>
    </row>
    <row r="1080" spans="28:39" x14ac:dyDescent="0.25">
      <c r="AB1080" s="253" t="str">
        <f t="shared" si="32"/>
        <v/>
      </c>
      <c r="AC1080" s="254" t="str">
        <f>IF(COUNTIF(AD$78:AD1080,AD1080)=1,MAX(AC$78:AC1079)+1,"")</f>
        <v/>
      </c>
      <c r="AD1080" s="215">
        <f>'[2]Изложницы без бурта'!B1080</f>
        <v>500</v>
      </c>
      <c r="AE1080" s="215">
        <f>'[2]Изложницы без бурта'!C1080</f>
        <v>248</v>
      </c>
      <c r="AF1080" s="56">
        <f>'[2]Изложницы без бурта'!D1080</f>
        <v>570</v>
      </c>
      <c r="AG1080" s="56">
        <f>'[2]Изложницы без бурта'!E1080</f>
        <v>400</v>
      </c>
      <c r="AH1080" s="56" t="str">
        <f>'[2]Изложницы без бурта'!F1080</f>
        <v>72.47183 - 1</v>
      </c>
      <c r="AI1080" s="56">
        <f>'[2]Изложницы без бурта'!G1080</f>
        <v>0</v>
      </c>
      <c r="AJ1080" s="56">
        <f>'[2]Изложницы без бурта'!H1080</f>
        <v>0</v>
      </c>
      <c r="AK1080" s="56">
        <f>'[2]Изложницы без бурта'!I1080</f>
        <v>0</v>
      </c>
      <c r="AL1080" s="56" t="s">
        <v>710</v>
      </c>
      <c r="AM1080" s="56">
        <f>'[2]Изложницы без бурта'!K1080</f>
        <v>0</v>
      </c>
    </row>
    <row r="1081" spans="28:39" x14ac:dyDescent="0.25">
      <c r="AB1081" s="253" t="str">
        <f t="shared" ref="AB1081:AB1144" si="33">IF(MAX(AC1081:AC2158)&lt;ROW(1003:1003),"",VLOOKUP(ROW(1003:1003),AC1081:AD2158,2))</f>
        <v/>
      </c>
      <c r="AC1081" s="254" t="str">
        <f>IF(COUNTIF(AD$78:AD1081,AD1081)=1,MAX(AC$78:AC1080)+1,"")</f>
        <v/>
      </c>
      <c r="AD1081" s="215">
        <f>'[2]Изложницы без бурта'!B1081</f>
        <v>500</v>
      </c>
      <c r="AE1081" s="215">
        <f>'[2]Изложницы без бурта'!C1081</f>
        <v>247</v>
      </c>
      <c r="AF1081" s="56">
        <f>'[2]Изложницы без бурта'!D1081</f>
        <v>570</v>
      </c>
      <c r="AG1081" s="56">
        <f>'[2]Изложницы без бурта'!E1081</f>
        <v>400</v>
      </c>
      <c r="AH1081" s="56" t="str">
        <f>'[2]Изложницы без бурта'!F1081</f>
        <v>72.47183 - 1</v>
      </c>
      <c r="AI1081" s="56">
        <f>'[2]Изложницы без бурта'!G1081</f>
        <v>0</v>
      </c>
      <c r="AJ1081" s="56">
        <f>'[2]Изложницы без бурта'!H1081</f>
        <v>0</v>
      </c>
      <c r="AK1081" s="56">
        <f>'[2]Изложницы без бурта'!I1081</f>
        <v>0</v>
      </c>
      <c r="AL1081" s="56" t="s">
        <v>710</v>
      </c>
      <c r="AM1081" s="56">
        <f>'[2]Изложницы без бурта'!K1081</f>
        <v>0</v>
      </c>
    </row>
    <row r="1082" spans="28:39" x14ac:dyDescent="0.25">
      <c r="AB1082" s="253" t="str">
        <f t="shared" si="33"/>
        <v/>
      </c>
      <c r="AC1082" s="254">
        <f>IF(COUNTIF(AD$78:AD1082,AD1082)=1,MAX(AC$78:AC1081)+1,"")</f>
        <v>137</v>
      </c>
      <c r="AD1082" s="215">
        <f>'[2]Изложницы без бурта'!B1082</f>
        <v>502.5</v>
      </c>
      <c r="AE1082" s="215">
        <f>'[2]Изложницы без бурта'!C1082</f>
        <v>205</v>
      </c>
      <c r="AF1082" s="56">
        <f>'[2]Изложницы без бурта'!D1082</f>
        <v>570</v>
      </c>
      <c r="AG1082" s="56">
        <f>'[2]Изложницы без бурта'!E1082</f>
        <v>400</v>
      </c>
      <c r="AH1082" s="56" t="str">
        <f>'[2]Изложницы без бурта'!F1082</f>
        <v>10.246214 - 7</v>
      </c>
      <c r="AI1082" s="56">
        <f>'[2]Изложницы без бурта'!G1082</f>
        <v>7260088</v>
      </c>
      <c r="AJ1082" s="56">
        <f>'[2]Изложницы без бурта'!H1082</f>
        <v>0</v>
      </c>
      <c r="AK1082" s="56">
        <f>'[2]Изложницы без бурта'!I1082</f>
        <v>0</v>
      </c>
      <c r="AL1082" s="56" t="s">
        <v>711</v>
      </c>
      <c r="AM1082" s="56">
        <f>'[2]Изложницы без бурта'!K1082</f>
        <v>0</v>
      </c>
    </row>
    <row r="1083" spans="28:39" x14ac:dyDescent="0.25">
      <c r="AB1083" s="253" t="str">
        <f t="shared" si="33"/>
        <v/>
      </c>
      <c r="AC1083" s="254">
        <f>IF(COUNTIF(AD$78:AD1083,AD1083)=1,MAX(AC$78:AC1082)+1,"")</f>
        <v>138</v>
      </c>
      <c r="AD1083" s="215">
        <f>'[2]Изложницы без бурта'!B1083</f>
        <v>505</v>
      </c>
      <c r="AE1083" s="215">
        <f>'[2]Изложницы без бурта'!C1083</f>
        <v>680</v>
      </c>
      <c r="AF1083" s="56">
        <f>'[2]Изложницы без бурта'!D1083</f>
        <v>610</v>
      </c>
      <c r="AG1083" s="56">
        <f>'[2]Изложницы без бурта'!E1083</f>
        <v>400</v>
      </c>
      <c r="AH1083" s="56" t="str">
        <f>'[2]Изложницы без бурта'!F1083</f>
        <v>24.271247 - 1</v>
      </c>
      <c r="AI1083" s="56">
        <f>'[2]Изложницы без бурта'!G1083</f>
        <v>0</v>
      </c>
      <c r="AJ1083" s="56">
        <f>'[2]Изложницы без бурта'!H1083</f>
        <v>0</v>
      </c>
      <c r="AK1083" s="56">
        <f>'[2]Изложницы без бурта'!I1083</f>
        <v>0</v>
      </c>
      <c r="AL1083" s="56" t="s">
        <v>712</v>
      </c>
      <c r="AM1083" s="56">
        <f>'[2]Изложницы без бурта'!K1083</f>
        <v>0</v>
      </c>
    </row>
    <row r="1084" spans="28:39" x14ac:dyDescent="0.25">
      <c r="AB1084" s="253" t="str">
        <f t="shared" si="33"/>
        <v/>
      </c>
      <c r="AC1084" s="254" t="str">
        <f>IF(COUNTIF(AD$78:AD1084,AD1084)=1,MAX(AC$78:AC1083)+1,"")</f>
        <v/>
      </c>
      <c r="AD1084" s="215">
        <f>'[2]Изложницы без бурта'!B1084</f>
        <v>505</v>
      </c>
      <c r="AE1084" s="215">
        <f>'[2]Изложницы без бурта'!C1084</f>
        <v>245</v>
      </c>
      <c r="AF1084" s="56">
        <f>'[2]Изложницы без бурта'!D1084</f>
        <v>550</v>
      </c>
      <c r="AG1084" s="56">
        <f>'[2]Изложницы без бурта'!E1084</f>
        <v>400</v>
      </c>
      <c r="AH1084" s="56" t="str">
        <f>'[2]Изложницы без бурта'!F1084</f>
        <v>72.47183 - 1</v>
      </c>
      <c r="AI1084" s="56">
        <f>'[2]Изложницы без бурта'!G1084</f>
        <v>0</v>
      </c>
      <c r="AJ1084" s="56">
        <f>'[2]Изложницы без бурта'!H1084</f>
        <v>0</v>
      </c>
      <c r="AK1084" s="56">
        <f>'[2]Изложницы без бурта'!I1084</f>
        <v>0</v>
      </c>
      <c r="AL1084" s="56" t="s">
        <v>712</v>
      </c>
      <c r="AM1084" s="56">
        <f>'[2]Изложницы без бурта'!K1084</f>
        <v>0</v>
      </c>
    </row>
    <row r="1085" spans="28:39" x14ac:dyDescent="0.25">
      <c r="AB1085" s="253" t="str">
        <f t="shared" si="33"/>
        <v/>
      </c>
      <c r="AC1085" s="254">
        <f>IF(COUNTIF(AD$78:AD1085,AD1085)=1,MAX(AC$78:AC1084)+1,"")</f>
        <v>139</v>
      </c>
      <c r="AD1085" s="215">
        <f>'[2]Изложницы без бурта'!B1085</f>
        <v>507.5</v>
      </c>
      <c r="AE1085" s="215">
        <f>'[2]Изложницы без бурта'!C1085</f>
        <v>580</v>
      </c>
      <c r="AF1085" s="56">
        <f>'[2]Изложницы без бурта'!D1085</f>
        <v>570</v>
      </c>
      <c r="AG1085" s="56">
        <f>'[2]Изложницы без бурта'!E1085</f>
        <v>400</v>
      </c>
      <c r="AH1085" s="56" t="str">
        <f>'[2]Изложницы без бурта'!F1085</f>
        <v>72.47252 - 1</v>
      </c>
      <c r="AI1085" s="56">
        <f>'[2]Изложницы без бурта'!G1085</f>
        <v>0</v>
      </c>
      <c r="AJ1085" s="56">
        <f>'[2]Изложницы без бурта'!H1085</f>
        <v>0</v>
      </c>
      <c r="AK1085" s="56">
        <f>'[2]Изложницы без бурта'!I1085</f>
        <v>0</v>
      </c>
      <c r="AL1085" s="56" t="s">
        <v>713</v>
      </c>
      <c r="AM1085" s="56">
        <f>'[2]Изложницы без бурта'!K1085</f>
        <v>0</v>
      </c>
    </row>
    <row r="1086" spans="28:39" x14ac:dyDescent="0.25">
      <c r="AB1086" s="253" t="str">
        <f t="shared" si="33"/>
        <v/>
      </c>
      <c r="AC1086" s="254" t="str">
        <f>IF(COUNTIF(AD$78:AD1086,AD1086)=1,MAX(AC$78:AC1085)+1,"")</f>
        <v/>
      </c>
      <c r="AD1086" s="215">
        <f>'[2]Изложницы без бурта'!B1086</f>
        <v>507.5</v>
      </c>
      <c r="AE1086" s="215">
        <f>'[2]Изложницы без бурта'!C1086</f>
        <v>545</v>
      </c>
      <c r="AF1086" s="56">
        <f>'[2]Изложницы без бурта'!D1086</f>
        <v>610</v>
      </c>
      <c r="AG1086" s="56">
        <f>'[2]Изложницы без бурта'!E1086</f>
        <v>400</v>
      </c>
      <c r="AH1086" s="56" t="str">
        <f>'[2]Изложницы без бурта'!F1086</f>
        <v>72.47252 - 1</v>
      </c>
      <c r="AI1086" s="56">
        <f>'[2]Изложницы без бурта'!G1086</f>
        <v>0</v>
      </c>
      <c r="AJ1086" s="56">
        <f>'[2]Изложницы без бурта'!H1086</f>
        <v>0</v>
      </c>
      <c r="AK1086" s="56">
        <f>'[2]Изложницы без бурта'!I1086</f>
        <v>0</v>
      </c>
      <c r="AL1086" s="56" t="s">
        <v>713</v>
      </c>
      <c r="AM1086" s="56">
        <f>'[2]Изложницы без бурта'!K1086</f>
        <v>0</v>
      </c>
    </row>
    <row r="1087" spans="28:39" x14ac:dyDescent="0.25">
      <c r="AB1087" s="253" t="str">
        <f t="shared" si="33"/>
        <v/>
      </c>
      <c r="AC1087" s="254">
        <f>IF(COUNTIF(AD$78:AD1087,AD1087)=1,MAX(AC$78:AC1086)+1,"")</f>
        <v>140</v>
      </c>
      <c r="AD1087" s="215">
        <f>'[2]Изложницы без бурта'!B1087</f>
        <v>510</v>
      </c>
      <c r="AE1087" s="215">
        <f>'[2]Изложницы без бурта'!C1087</f>
        <v>120</v>
      </c>
      <c r="AF1087" s="56">
        <f>'[2]Изложницы без бурта'!D1087</f>
        <v>610</v>
      </c>
      <c r="AG1087" s="56">
        <f>'[2]Изложницы без бурта'!E1087</f>
        <v>400</v>
      </c>
      <c r="AH1087" s="56" t="str">
        <f>'[2]Изложницы без бурта'!F1087</f>
        <v>72.47347 - 2</v>
      </c>
      <c r="AI1087" s="56">
        <f>'[2]Изложницы без бурта'!G1087</f>
        <v>0</v>
      </c>
      <c r="AJ1087" s="56">
        <f>'[2]Изложницы без бурта'!H1087</f>
        <v>0</v>
      </c>
      <c r="AK1087" s="56">
        <f>'[2]Изложницы без бурта'!I1087</f>
        <v>0</v>
      </c>
      <c r="AL1087" s="56" t="s">
        <v>714</v>
      </c>
      <c r="AM1087" s="56">
        <f>'[2]Изложницы без бурта'!K1087</f>
        <v>0</v>
      </c>
    </row>
    <row r="1088" spans="28:39" x14ac:dyDescent="0.25">
      <c r="AB1088" s="253" t="str">
        <f t="shared" si="33"/>
        <v/>
      </c>
      <c r="AC1088" s="254" t="str">
        <f>IF(COUNTIF(AD$78:AD1088,AD1088)=1,MAX(AC$78:AC1087)+1,"")</f>
        <v/>
      </c>
      <c r="AD1088" s="215">
        <f>'[2]Изложницы без бурта'!B1088</f>
        <v>510</v>
      </c>
      <c r="AE1088" s="215">
        <f>'[2]Изложницы без бурта'!C1088</f>
        <v>120</v>
      </c>
      <c r="AF1088" s="56">
        <f>'[2]Изложницы без бурта'!D1088</f>
        <v>570</v>
      </c>
      <c r="AG1088" s="56">
        <f>'[2]Изложницы без бурта'!E1088</f>
        <v>400</v>
      </c>
      <c r="AH1088" s="56" t="str">
        <f>'[2]Изложницы без бурта'!F1088</f>
        <v>72.47347 - 2</v>
      </c>
      <c r="AI1088" s="56">
        <f>'[2]Изложницы без бурта'!G1088</f>
        <v>0</v>
      </c>
      <c r="AJ1088" s="56">
        <f>'[2]Изложницы без бурта'!H1088</f>
        <v>0</v>
      </c>
      <c r="AK1088" s="56">
        <f>'[2]Изложницы без бурта'!I1088</f>
        <v>0</v>
      </c>
      <c r="AL1088" s="56" t="s">
        <v>714</v>
      </c>
      <c r="AM1088" s="56">
        <f>'[2]Изложницы без бурта'!K1088</f>
        <v>0</v>
      </c>
    </row>
    <row r="1089" spans="28:39" x14ac:dyDescent="0.25">
      <c r="AB1089" s="253" t="str">
        <f t="shared" si="33"/>
        <v/>
      </c>
      <c r="AC1089" s="254" t="str">
        <f>IF(COUNTIF(AD$78:AD1089,AD1089)=1,MAX(AC$78:AC1088)+1,"")</f>
        <v/>
      </c>
      <c r="AD1089" s="215">
        <f>'[2]Изложницы без бурта'!B1089</f>
        <v>510</v>
      </c>
      <c r="AE1089" s="215">
        <f>'[2]Изложницы без бурта'!C1089</f>
        <v>120</v>
      </c>
      <c r="AF1089" s="56">
        <f>'[2]Изложницы без бурта'!D1089</f>
        <v>610</v>
      </c>
      <c r="AG1089" s="56">
        <f>'[2]Изложницы без бурта'!E1089</f>
        <v>400</v>
      </c>
      <c r="AH1089" s="56" t="str">
        <f>'[2]Изложницы без бурта'!F1089</f>
        <v>72.47347 - 2</v>
      </c>
      <c r="AI1089" s="56">
        <f>'[2]Изложницы без бурта'!G1089</f>
        <v>0</v>
      </c>
      <c r="AJ1089" s="56">
        <f>'[2]Изложницы без бурта'!H1089</f>
        <v>0</v>
      </c>
      <c r="AK1089" s="56">
        <f>'[2]Изложницы без бурта'!I1089</f>
        <v>0</v>
      </c>
      <c r="AL1089" s="56" t="s">
        <v>714</v>
      </c>
      <c r="AM1089" s="56">
        <f>'[2]Изложницы без бурта'!K1089</f>
        <v>0</v>
      </c>
    </row>
    <row r="1090" spans="28:39" x14ac:dyDescent="0.25">
      <c r="AB1090" s="253" t="str">
        <f t="shared" si="33"/>
        <v/>
      </c>
      <c r="AC1090" s="254" t="str">
        <f>IF(COUNTIF(AD$78:AD1090,AD1090)=1,MAX(AC$78:AC1089)+1,"")</f>
        <v/>
      </c>
      <c r="AD1090" s="215">
        <f>'[2]Изложницы без бурта'!B1090</f>
        <v>510</v>
      </c>
      <c r="AE1090" s="215">
        <f>'[2]Изложницы без бурта'!C1090</f>
        <v>120</v>
      </c>
      <c r="AF1090" s="56">
        <f>'[2]Изложницы без бурта'!D1090</f>
        <v>610</v>
      </c>
      <c r="AG1090" s="56">
        <f>'[2]Изложницы без бурта'!E1090</f>
        <v>400</v>
      </c>
      <c r="AH1090" s="56" t="str">
        <f>'[2]Изложницы без бурта'!F1090</f>
        <v>72.47347 - 2</v>
      </c>
      <c r="AI1090" s="56">
        <f>'[2]Изложницы без бурта'!G1090</f>
        <v>0</v>
      </c>
      <c r="AJ1090" s="56">
        <f>'[2]Изложницы без бурта'!H1090</f>
        <v>0</v>
      </c>
      <c r="AK1090" s="56">
        <f>'[2]Изложницы без бурта'!I1090</f>
        <v>0</v>
      </c>
      <c r="AL1090" s="56" t="s">
        <v>714</v>
      </c>
      <c r="AM1090" s="56">
        <f>'[2]Изложницы без бурта'!K1090</f>
        <v>0</v>
      </c>
    </row>
    <row r="1091" spans="28:39" x14ac:dyDescent="0.25">
      <c r="AB1091" s="253" t="str">
        <f t="shared" si="33"/>
        <v/>
      </c>
      <c r="AC1091" s="254">
        <f>IF(COUNTIF(AD$78:AD1091,AD1091)=1,MAX(AC$78:AC1090)+1,"")</f>
        <v>141</v>
      </c>
      <c r="AD1091" s="215">
        <f>'[2]Изложницы без бурта'!B1091</f>
        <v>515</v>
      </c>
      <c r="AE1091" s="215">
        <f>'[2]Изложницы без бурта'!C1091</f>
        <v>265</v>
      </c>
      <c r="AF1091" s="56">
        <f>'[2]Изложницы без бурта'!D1091</f>
        <v>610</v>
      </c>
      <c r="AG1091" s="56">
        <f>'[2]Изложницы без бурта'!E1091</f>
        <v>400</v>
      </c>
      <c r="AH1091" s="56" t="str">
        <f>'[2]Изложницы без бурта'!F1091</f>
        <v>10.540085 - 1</v>
      </c>
      <c r="AI1091" s="56">
        <f>'[2]Изложницы без бурта'!G1091</f>
        <v>7260089</v>
      </c>
      <c r="AJ1091" s="56">
        <f>'[2]Изложницы без бурта'!H1091</f>
        <v>0</v>
      </c>
      <c r="AK1091" s="56">
        <f>'[2]Изложницы без бурта'!I1091</f>
        <v>0</v>
      </c>
      <c r="AL1091" s="56" t="s">
        <v>715</v>
      </c>
      <c r="AM1091" s="56">
        <f>'[2]Изложницы без бурта'!K1091</f>
        <v>0</v>
      </c>
    </row>
    <row r="1092" spans="28:39" x14ac:dyDescent="0.25">
      <c r="AB1092" s="253" t="str">
        <f t="shared" si="33"/>
        <v/>
      </c>
      <c r="AC1092" s="254">
        <f>IF(COUNTIF(AD$78:AD1092,AD1092)=1,MAX(AC$78:AC1091)+1,"")</f>
        <v>142</v>
      </c>
      <c r="AD1092" s="215">
        <f>'[2]Изложницы без бурта'!B1092</f>
        <v>517.5</v>
      </c>
      <c r="AE1092" s="215">
        <f>'[2]Изложницы без бурта'!C1092</f>
        <v>510</v>
      </c>
      <c r="AF1092" s="56">
        <f>'[2]Изложницы без бурта'!D1092</f>
        <v>610</v>
      </c>
      <c r="AG1092" s="56">
        <f>'[2]Изложницы без бурта'!E1092</f>
        <v>400</v>
      </c>
      <c r="AH1092" s="56" t="str">
        <f>'[2]Изложницы без бурта'!F1092</f>
        <v>72.47351 - 1</v>
      </c>
      <c r="AI1092" s="56">
        <f>'[2]Изложницы без бурта'!G1092</f>
        <v>0</v>
      </c>
      <c r="AJ1092" s="56">
        <f>'[2]Изложницы без бурта'!H1092</f>
        <v>0</v>
      </c>
      <c r="AK1092" s="56">
        <f>'[2]Изложницы без бурта'!I1092</f>
        <v>0</v>
      </c>
      <c r="AL1092" s="56" t="s">
        <v>716</v>
      </c>
      <c r="AM1092" s="56">
        <f>'[2]Изложницы без бурта'!K1092</f>
        <v>0</v>
      </c>
    </row>
    <row r="1093" spans="28:39" x14ac:dyDescent="0.25">
      <c r="AB1093" s="253" t="str">
        <f t="shared" si="33"/>
        <v/>
      </c>
      <c r="AC1093" s="254">
        <f>IF(COUNTIF(AD$78:AD1093,AD1093)=1,MAX(AC$78:AC1092)+1,"")</f>
        <v>143</v>
      </c>
      <c r="AD1093" s="215">
        <f>'[2]Изложницы без бурта'!B1093</f>
        <v>520</v>
      </c>
      <c r="AE1093" s="215">
        <f>'[2]Изложницы без бурта'!C1093</f>
        <v>230</v>
      </c>
      <c r="AF1093" s="56">
        <f>'[2]Изложницы без бурта'!D1093</f>
        <v>570</v>
      </c>
      <c r="AG1093" s="56">
        <f>'[2]Изложницы без бурта'!E1093</f>
        <v>400</v>
      </c>
      <c r="AH1093" s="56" t="str">
        <f>'[2]Изложницы без бурта'!F1093</f>
        <v>72.48006 - 1</v>
      </c>
      <c r="AI1093" s="56">
        <f>'[2]Изложницы без бурта'!G1093</f>
        <v>0</v>
      </c>
      <c r="AJ1093" s="56" t="str">
        <f>'[2]Изложницы без бурта'!H1093</f>
        <v>добавлен 11.06.2021</v>
      </c>
      <c r="AK1093" s="56">
        <f>'[2]Изложницы без бурта'!I1093</f>
        <v>0</v>
      </c>
      <c r="AL1093" s="56" t="s">
        <v>717</v>
      </c>
      <c r="AM1093" s="56">
        <f>'[2]Изложницы без бурта'!K1093</f>
        <v>0</v>
      </c>
    </row>
    <row r="1094" spans="28:39" x14ac:dyDescent="0.25">
      <c r="AB1094" s="253" t="str">
        <f t="shared" si="33"/>
        <v/>
      </c>
      <c r="AC1094" s="254" t="str">
        <f>IF(COUNTIF(AD$78:AD1094,AD1094)=1,MAX(AC$78:AC1093)+1,"")</f>
        <v/>
      </c>
      <c r="AD1094" s="215">
        <f>'[2]Изложницы без бурта'!B1094</f>
        <v>520</v>
      </c>
      <c r="AE1094" s="215">
        <f>'[2]Изложницы без бурта'!C1094</f>
        <v>615</v>
      </c>
      <c r="AF1094" s="56">
        <f>'[2]Изложницы без бурта'!D1094</f>
        <v>570</v>
      </c>
      <c r="AG1094" s="56">
        <f>'[2]Изложницы без бурта'!E1094</f>
        <v>400</v>
      </c>
      <c r="AH1094" s="56" t="str">
        <f>'[2]Изложницы без бурта'!F1094</f>
        <v>10.254085 - 1</v>
      </c>
      <c r="AI1094" s="56">
        <f>'[2]Изложницы без бурта'!G1094</f>
        <v>0</v>
      </c>
      <c r="AJ1094" s="56">
        <f>'[2]Изложницы без бурта'!H1094</f>
        <v>0</v>
      </c>
      <c r="AK1094" s="56">
        <f>'[2]Изложницы без бурта'!I1094</f>
        <v>0</v>
      </c>
      <c r="AL1094" s="56" t="s">
        <v>717</v>
      </c>
      <c r="AM1094" s="56">
        <f>'[2]Изложницы без бурта'!K1094</f>
        <v>0</v>
      </c>
    </row>
    <row r="1095" spans="28:39" x14ac:dyDescent="0.25">
      <c r="AB1095" s="253" t="str">
        <f t="shared" si="33"/>
        <v/>
      </c>
      <c r="AC1095" s="254" t="str">
        <f>IF(COUNTIF(AD$78:AD1095,AD1095)=1,MAX(AC$78:AC1094)+1,"")</f>
        <v/>
      </c>
      <c r="AD1095" s="215">
        <f>'[2]Изложницы без бурта'!B1095</f>
        <v>520</v>
      </c>
      <c r="AE1095" s="215">
        <f>'[2]Изложницы без бурта'!C1095</f>
        <v>510</v>
      </c>
      <c r="AF1095" s="56">
        <f>'[2]Изложницы без бурта'!D1095</f>
        <v>570</v>
      </c>
      <c r="AG1095" s="56">
        <f>'[2]Изложницы без бурта'!E1095</f>
        <v>400</v>
      </c>
      <c r="AH1095" s="56" t="str">
        <f>'[2]Изложницы без бурта'!F1095</f>
        <v>72.47351 - 1</v>
      </c>
      <c r="AI1095" s="56">
        <f>'[2]Изложницы без бурта'!G1095</f>
        <v>0</v>
      </c>
      <c r="AJ1095" s="56">
        <f>'[2]Изложницы без бурта'!H1095</f>
        <v>0</v>
      </c>
      <c r="AK1095" s="56">
        <f>'[2]Изложницы без бурта'!I1095</f>
        <v>0</v>
      </c>
      <c r="AL1095" s="56" t="s">
        <v>717</v>
      </c>
      <c r="AM1095" s="56">
        <f>'[2]Изложницы без бурта'!K1095</f>
        <v>0</v>
      </c>
    </row>
    <row r="1096" spans="28:39" x14ac:dyDescent="0.25">
      <c r="AB1096" s="253" t="str">
        <f t="shared" si="33"/>
        <v/>
      </c>
      <c r="AC1096" s="254">
        <f>IF(COUNTIF(AD$78:AD1096,AD1096)=1,MAX(AC$78:AC1095)+1,"")</f>
        <v>144</v>
      </c>
      <c r="AD1096" s="215">
        <f>'[2]Изложницы без бурта'!B1096</f>
        <v>522.5</v>
      </c>
      <c r="AE1096" s="215">
        <f>'[2]Изложницы без бурта'!C1096</f>
        <v>510</v>
      </c>
      <c r="AF1096" s="56">
        <f>'[2]Изложницы без бурта'!D1096</f>
        <v>610</v>
      </c>
      <c r="AG1096" s="56">
        <f>'[2]Изложницы без бурта'!E1096</f>
        <v>400</v>
      </c>
      <c r="AH1096" s="56" t="str">
        <f>'[2]Изложницы без бурта'!F1096</f>
        <v>72.47351 - 2</v>
      </c>
      <c r="AI1096" s="56">
        <f>'[2]Изложницы без бурта'!G1096</f>
        <v>0</v>
      </c>
      <c r="AJ1096" s="56">
        <f>'[2]Изложницы без бурта'!H1096</f>
        <v>0</v>
      </c>
      <c r="AK1096" s="56">
        <f>'[2]Изложницы без бурта'!I1096</f>
        <v>0</v>
      </c>
      <c r="AL1096" s="56" t="s">
        <v>718</v>
      </c>
      <c r="AM1096" s="56">
        <f>'[2]Изложницы без бурта'!K1096</f>
        <v>0</v>
      </c>
    </row>
    <row r="1097" spans="28:39" x14ac:dyDescent="0.25">
      <c r="AB1097" s="253" t="str">
        <f t="shared" si="33"/>
        <v/>
      </c>
      <c r="AC1097" s="254" t="str">
        <f>IF(COUNTIF(AD$78:AD1097,AD1097)=1,MAX(AC$78:AC1096)+1,"")</f>
        <v/>
      </c>
      <c r="AD1097" s="215">
        <f>'[2]Изложницы без бурта'!B1097</f>
        <v>522.5</v>
      </c>
      <c r="AE1097" s="215">
        <f>'[2]Изложницы без бурта'!C1097</f>
        <v>277</v>
      </c>
      <c r="AF1097" s="56">
        <f>'[2]Изложницы без бурта'!D1097</f>
        <v>570</v>
      </c>
      <c r="AG1097" s="56">
        <f>'[2]Изложницы без бурта'!E1097</f>
        <v>400</v>
      </c>
      <c r="AH1097" s="56" t="str">
        <f>'[2]Изложницы без бурта'!F1097</f>
        <v>72.48006 - 1</v>
      </c>
      <c r="AI1097" s="56">
        <f>'[2]Изложницы без бурта'!G1097</f>
        <v>0</v>
      </c>
      <c r="AJ1097" s="56">
        <f>'[2]Изложницы без бурта'!H1097</f>
        <v>0</v>
      </c>
      <c r="AK1097" s="56">
        <f>'[2]Изложницы без бурта'!I1097</f>
        <v>0</v>
      </c>
      <c r="AL1097" s="56" t="s">
        <v>718</v>
      </c>
      <c r="AM1097" s="56">
        <f>'[2]Изложницы без бурта'!K1097</f>
        <v>0</v>
      </c>
    </row>
    <row r="1098" spans="28:39" x14ac:dyDescent="0.25">
      <c r="AB1098" s="253" t="str">
        <f t="shared" si="33"/>
        <v/>
      </c>
      <c r="AC1098" s="254">
        <f>IF(COUNTIF(AD$78:AD1098,AD1098)=1,MAX(AC$78:AC1097)+1,"")</f>
        <v>145</v>
      </c>
      <c r="AD1098" s="215">
        <f>'[2]Изложницы без бурта'!B1098</f>
        <v>525</v>
      </c>
      <c r="AE1098" s="215">
        <f>'[2]Изложницы без бурта'!C1098</f>
        <v>165</v>
      </c>
      <c r="AF1098" s="56">
        <f>'[2]Изложницы без бурта'!D1098</f>
        <v>610</v>
      </c>
      <c r="AG1098" s="56">
        <f>'[2]Изложницы без бурта'!E1098</f>
        <v>400</v>
      </c>
      <c r="AH1098" s="56" t="str">
        <f>'[2]Изложницы без бурта'!F1098</f>
        <v>72.47348 - 1</v>
      </c>
      <c r="AI1098" s="56">
        <f>'[2]Изложницы без бурта'!G1098</f>
        <v>0</v>
      </c>
      <c r="AJ1098" s="56">
        <f>'[2]Изложницы без бурта'!H1098</f>
        <v>0</v>
      </c>
      <c r="AK1098" s="56">
        <f>'[2]Изложницы без бурта'!I1098</f>
        <v>0</v>
      </c>
      <c r="AL1098" s="56" t="s">
        <v>719</v>
      </c>
      <c r="AM1098" s="56">
        <f>'[2]Изложницы без бурта'!K1098</f>
        <v>0</v>
      </c>
    </row>
    <row r="1099" spans="28:39" x14ac:dyDescent="0.25">
      <c r="AB1099" s="253" t="str">
        <f t="shared" si="33"/>
        <v/>
      </c>
      <c r="AC1099" s="254" t="str">
        <f>IF(COUNTIF(AD$78:AD1099,AD1099)=1,MAX(AC$78:AC1098)+1,"")</f>
        <v/>
      </c>
      <c r="AD1099" s="215">
        <f>'[2]Изложницы без бурта'!B1099</f>
        <v>525</v>
      </c>
      <c r="AE1099" s="215">
        <f>'[2]Изложницы без бурта'!C1099</f>
        <v>615</v>
      </c>
      <c r="AF1099" s="56">
        <f>'[2]Изложницы без бурта'!D1099</f>
        <v>570</v>
      </c>
      <c r="AG1099" s="56">
        <f>'[2]Изложницы без бурта'!E1099</f>
        <v>400</v>
      </c>
      <c r="AH1099" s="56" t="str">
        <f>'[2]Изложницы без бурта'!F1099</f>
        <v>10.254085 - 2</v>
      </c>
      <c r="AI1099" s="56">
        <f>'[2]Изложницы без бурта'!G1099</f>
        <v>7260090</v>
      </c>
      <c r="AJ1099" s="56">
        <f>'[2]Изложницы без бурта'!H1099</f>
        <v>0</v>
      </c>
      <c r="AK1099" s="56">
        <f>'[2]Изложницы без бурта'!I1099</f>
        <v>0</v>
      </c>
      <c r="AL1099" s="56" t="s">
        <v>719</v>
      </c>
      <c r="AM1099" s="56">
        <f>'[2]Изложницы без бурта'!K1099</f>
        <v>0</v>
      </c>
    </row>
    <row r="1100" spans="28:39" x14ac:dyDescent="0.25">
      <c r="AB1100" s="253" t="str">
        <f t="shared" si="33"/>
        <v/>
      </c>
      <c r="AC1100" s="254">
        <f>IF(COUNTIF(AD$78:AD1100,AD1100)=1,MAX(AC$78:AC1099)+1,"")</f>
        <v>146</v>
      </c>
      <c r="AD1100" s="215">
        <f>'[2]Изложницы без бурта'!B1100</f>
        <v>527.5</v>
      </c>
      <c r="AE1100" s="215">
        <f>'[2]Изложницы без бурта'!C1100</f>
        <v>508</v>
      </c>
      <c r="AF1100" s="56">
        <f>'[2]Изложницы без бурта'!D1100</f>
        <v>610</v>
      </c>
      <c r="AG1100" s="56">
        <f>'[2]Изложницы без бурта'!E1100</f>
        <v>400</v>
      </c>
      <c r="AH1100" s="56" t="str">
        <f>'[2]Изложницы без бурта'!F1100</f>
        <v>72.47351 - 4</v>
      </c>
      <c r="AI1100" s="56">
        <f>'[2]Изложницы без бурта'!G1100</f>
        <v>7260091</v>
      </c>
      <c r="AJ1100" s="56">
        <f>'[2]Изложницы без бурта'!H1100</f>
        <v>0</v>
      </c>
      <c r="AK1100" s="56">
        <f>'[2]Изложницы без бурта'!I1100</f>
        <v>0</v>
      </c>
      <c r="AL1100" s="56" t="s">
        <v>720</v>
      </c>
      <c r="AM1100" s="56">
        <f>'[2]Изложницы без бурта'!K1100</f>
        <v>0</v>
      </c>
    </row>
    <row r="1101" spans="28:39" x14ac:dyDescent="0.25">
      <c r="AB1101" s="253" t="str">
        <f t="shared" si="33"/>
        <v/>
      </c>
      <c r="AC1101" s="254" t="str">
        <f>IF(COUNTIF(AD$78:AD1101,AD1101)=1,MAX(AC$78:AC1100)+1,"")</f>
        <v/>
      </c>
      <c r="AD1101" s="215">
        <f>'[2]Изложницы без бурта'!B1101</f>
        <v>527.5</v>
      </c>
      <c r="AE1101" s="215">
        <f>'[2]Изложницы без бурта'!C1101</f>
        <v>677</v>
      </c>
      <c r="AF1101" s="56">
        <f>'[2]Изложницы без бурта'!D1101</f>
        <v>570</v>
      </c>
      <c r="AG1101" s="56">
        <f>'[2]Изложницы без бурта'!E1101</f>
        <v>400</v>
      </c>
      <c r="AH1101" s="56" t="str">
        <f>'[2]Изложницы без бурта'!F1101</f>
        <v>24.271247 - 1</v>
      </c>
      <c r="AI1101" s="56">
        <f>'[2]Изложницы без бурта'!G1101</f>
        <v>7260092</v>
      </c>
      <c r="AJ1101" s="56" t="str">
        <f>'[2]Изложницы без бурта'!H1101</f>
        <v>Толкатель утоплен в кокиль, рабочая длина - 677 мм</v>
      </c>
      <c r="AK1101" s="56">
        <f>'[2]Изложницы без бурта'!I1101</f>
        <v>0</v>
      </c>
      <c r="AL1101" s="56" t="s">
        <v>720</v>
      </c>
      <c r="AM1101" s="56">
        <f>'[2]Изложницы без бурта'!K1101</f>
        <v>0</v>
      </c>
    </row>
    <row r="1102" spans="28:39" x14ac:dyDescent="0.25">
      <c r="AB1102" s="253" t="str">
        <f t="shared" si="33"/>
        <v/>
      </c>
      <c r="AC1102" s="254">
        <f>IF(COUNTIF(AD$78:AD1102,AD1102)=1,MAX(AC$78:AC1101)+1,"")</f>
        <v>147</v>
      </c>
      <c r="AD1102" s="215">
        <f>'[2]Изложницы без бурта'!B1102</f>
        <v>530</v>
      </c>
      <c r="AE1102" s="215">
        <f>'[2]Изложницы без бурта'!C1102</f>
        <v>375</v>
      </c>
      <c r="AF1102" s="56">
        <f>'[2]Изложницы без бурта'!D1102</f>
        <v>610</v>
      </c>
      <c r="AG1102" s="56">
        <f>'[2]Изложницы без бурта'!E1102</f>
        <v>400</v>
      </c>
      <c r="AH1102" s="56" t="str">
        <f>'[2]Изложницы без бурта'!F1102</f>
        <v>72.47350 - 1</v>
      </c>
      <c r="AI1102" s="56">
        <f>'[2]Изложницы без бурта'!G1102</f>
        <v>0</v>
      </c>
      <c r="AJ1102" s="56">
        <f>'[2]Изложницы без бурта'!H1102</f>
        <v>0</v>
      </c>
      <c r="AK1102" s="56">
        <f>'[2]Изложницы без бурта'!I1102</f>
        <v>0</v>
      </c>
      <c r="AL1102" s="56" t="s">
        <v>721</v>
      </c>
      <c r="AM1102" s="56">
        <f>'[2]Изложницы без бурта'!K1102</f>
        <v>0</v>
      </c>
    </row>
    <row r="1103" spans="28:39" x14ac:dyDescent="0.25">
      <c r="AB1103" s="253" t="str">
        <f t="shared" si="33"/>
        <v/>
      </c>
      <c r="AC1103" s="254" t="str">
        <f>IF(COUNTIF(AD$78:AD1103,AD1103)=1,MAX(AC$78:AC1102)+1,"")</f>
        <v/>
      </c>
      <c r="AD1103" s="215">
        <f>'[2]Изложницы без бурта'!B1103</f>
        <v>530</v>
      </c>
      <c r="AE1103" s="215">
        <f>'[2]Изложницы без бурта'!C1103</f>
        <v>374</v>
      </c>
      <c r="AF1103" s="56">
        <f>'[2]Изложницы без бурта'!D1103</f>
        <v>610</v>
      </c>
      <c r="AG1103" s="56">
        <f>'[2]Изложницы без бурта'!E1103</f>
        <v>400</v>
      </c>
      <c r="AH1103" s="56" t="str">
        <f>'[2]Изложницы без бурта'!F1103</f>
        <v>72.47350 - 1</v>
      </c>
      <c r="AI1103" s="56">
        <f>'[2]Изложницы без бурта'!G1103</f>
        <v>0</v>
      </c>
      <c r="AJ1103" s="56">
        <f>'[2]Изложницы без бурта'!H1103</f>
        <v>0</v>
      </c>
      <c r="AK1103" s="56">
        <f>'[2]Изложницы без бурта'!I1103</f>
        <v>0</v>
      </c>
      <c r="AL1103" s="56" t="s">
        <v>721</v>
      </c>
      <c r="AM1103" s="56">
        <f>'[2]Изложницы без бурта'!K1103</f>
        <v>0</v>
      </c>
    </row>
    <row r="1104" spans="28:39" x14ac:dyDescent="0.25">
      <c r="AB1104" s="253" t="str">
        <f t="shared" si="33"/>
        <v/>
      </c>
      <c r="AC1104" s="254">
        <f>IF(COUNTIF(AD$78:AD1104,AD1104)=1,MAX(AC$78:AC1103)+1,"")</f>
        <v>148</v>
      </c>
      <c r="AD1104" s="215">
        <f>'[2]Изложницы без бурта'!B1104</f>
        <v>532.5</v>
      </c>
      <c r="AE1104" s="215">
        <f>'[2]Изложницы без бурта'!C1104</f>
        <v>550</v>
      </c>
      <c r="AF1104" s="56">
        <f>'[2]Изложницы без бурта'!D1104</f>
        <v>610</v>
      </c>
      <c r="AG1104" s="56">
        <f>'[2]Изложницы без бурта'!E1104</f>
        <v>400</v>
      </c>
      <c r="AH1104" s="56" t="str">
        <f>'[2]Изложницы без бурта'!F1104</f>
        <v>10.242267 - 01</v>
      </c>
      <c r="AI1104" s="56">
        <f>'[2]Изложницы без бурта'!G1104</f>
        <v>7260093</v>
      </c>
      <c r="AJ1104" s="56">
        <f>'[2]Изложницы без бурта'!H1104</f>
        <v>0</v>
      </c>
      <c r="AK1104" s="56">
        <f>'[2]Изложницы без бурта'!I1104</f>
        <v>0</v>
      </c>
      <c r="AL1104" s="56" t="s">
        <v>722</v>
      </c>
      <c r="AM1104" s="56">
        <f>'[2]Изложницы без бурта'!K1104</f>
        <v>0</v>
      </c>
    </row>
    <row r="1105" spans="28:39" x14ac:dyDescent="0.25">
      <c r="AB1105" s="253" t="str">
        <f t="shared" si="33"/>
        <v/>
      </c>
      <c r="AC1105" s="254">
        <f>IF(COUNTIF(AD$78:AD1105,AD1105)=1,MAX(AC$78:AC1104)+1,"")</f>
        <v>149</v>
      </c>
      <c r="AD1105" s="215">
        <f>'[2]Изложницы без бурта'!B1105</f>
        <v>535</v>
      </c>
      <c r="AE1105" s="215">
        <f>'[2]Изложницы без бурта'!C1105</f>
        <v>170</v>
      </c>
      <c r="AF1105" s="56">
        <f>'[2]Изложницы без бурта'!D1105</f>
        <v>610</v>
      </c>
      <c r="AG1105" s="56">
        <f>'[2]Изложницы без бурта'!E1105</f>
        <v>400</v>
      </c>
      <c r="AH1105" s="56" t="str">
        <f>'[2]Изложницы без бурта'!F1105</f>
        <v>72.44922 - 1</v>
      </c>
      <c r="AI1105" s="56">
        <f>'[2]Изложницы без бурта'!G1105</f>
        <v>0</v>
      </c>
      <c r="AJ1105" s="56" t="str">
        <f>'[2]Изложницы без бурта'!H1105</f>
        <v>Не найден - Ковалев 02.11.2023</v>
      </c>
      <c r="AK1105" s="56">
        <f>'[2]Изложницы без бурта'!I1105</f>
        <v>0</v>
      </c>
      <c r="AL1105" s="56" t="s">
        <v>723</v>
      </c>
      <c r="AM1105" s="56">
        <f>'[2]Изложницы без бурта'!K1105</f>
        <v>0</v>
      </c>
    </row>
    <row r="1106" spans="28:39" x14ac:dyDescent="0.25">
      <c r="AB1106" s="253" t="str">
        <f t="shared" si="33"/>
        <v/>
      </c>
      <c r="AC1106" s="254">
        <f>IF(COUNTIF(AD$78:AD1106,AD1106)=1,MAX(AC$78:AC1105)+1,"")</f>
        <v>150</v>
      </c>
      <c r="AD1106" s="215">
        <f>'[2]Изложницы без бурта'!B1106</f>
        <v>537.5</v>
      </c>
      <c r="AE1106" s="215">
        <f>'[2]Изложницы без бурта'!C1106</f>
        <v>260</v>
      </c>
      <c r="AF1106" s="56">
        <f>'[2]Изложницы без бурта'!D1106</f>
        <v>610</v>
      </c>
      <c r="AG1106" s="56">
        <f>'[2]Изложницы без бурта'!E1106</f>
        <v>400</v>
      </c>
      <c r="AH1106" s="56" t="str">
        <f>'[2]Изложницы без бурта'!F1106</f>
        <v>72.48652 - 1</v>
      </c>
      <c r="AI1106" s="56">
        <f>'[2]Изложницы без бурта'!G1106</f>
        <v>0</v>
      </c>
      <c r="AJ1106" s="56">
        <f>'[2]Изложницы без бурта'!H1106</f>
        <v>0</v>
      </c>
      <c r="AK1106" s="56">
        <f>'[2]Изложницы без бурта'!I1106</f>
        <v>0</v>
      </c>
      <c r="AL1106" s="56" t="s">
        <v>724</v>
      </c>
      <c r="AM1106" s="56">
        <f>'[2]Изложницы без бурта'!K1106</f>
        <v>0</v>
      </c>
    </row>
    <row r="1107" spans="28:39" x14ac:dyDescent="0.25">
      <c r="AB1107" s="253" t="str">
        <f t="shared" si="33"/>
        <v/>
      </c>
      <c r="AC1107" s="254">
        <f>IF(COUNTIF(AD$78:AD1107,AD1107)=1,MAX(AC$78:AC1106)+1,"")</f>
        <v>151</v>
      </c>
      <c r="AD1107" s="215">
        <f>'[2]Изложницы без бурта'!B1107</f>
        <v>545</v>
      </c>
      <c r="AE1107" s="215">
        <f>'[2]Изложницы без бурта'!C1107</f>
        <v>403</v>
      </c>
      <c r="AF1107" s="56">
        <f>'[2]Изложницы без бурта'!D1107</f>
        <v>640</v>
      </c>
      <c r="AG1107" s="56">
        <f>'[2]Изложницы без бурта'!E1107</f>
        <v>400</v>
      </c>
      <c r="AH1107" s="56" t="str">
        <f>'[2]Изложницы без бурта'!F1107</f>
        <v>10.242291 - 3</v>
      </c>
      <c r="AI1107" s="56">
        <f>'[2]Изложницы без бурта'!G1107</f>
        <v>7260094</v>
      </c>
      <c r="AJ1107" s="56">
        <f>'[2]Изложницы без бурта'!H1107</f>
        <v>0</v>
      </c>
      <c r="AK1107" s="56">
        <f>'[2]Изложницы без бурта'!I1107</f>
        <v>0</v>
      </c>
      <c r="AL1107" s="56" t="s">
        <v>725</v>
      </c>
      <c r="AM1107" s="56">
        <f>'[2]Изложницы без бурта'!K1107</f>
        <v>0</v>
      </c>
    </row>
    <row r="1108" spans="28:39" x14ac:dyDescent="0.25">
      <c r="AB1108" s="253" t="str">
        <f t="shared" si="33"/>
        <v/>
      </c>
      <c r="AC1108" s="254">
        <f>IF(COUNTIF(AD$78:AD1108,AD1108)=1,MAX(AC$78:AC1107)+1,"")</f>
        <v>152</v>
      </c>
      <c r="AD1108" s="215">
        <f>'[2]Изложницы без бурта'!B1108</f>
        <v>547.5</v>
      </c>
      <c r="AE1108" s="215">
        <f>'[2]Изложницы без бурта'!C1108</f>
        <v>263</v>
      </c>
      <c r="AF1108" s="56">
        <f>'[2]Изложницы без бурта'!D1108</f>
        <v>610</v>
      </c>
      <c r="AG1108" s="56">
        <f>'[2]Изложницы без бурта'!E1108</f>
        <v>400</v>
      </c>
      <c r="AH1108" s="56" t="str">
        <f>'[2]Изложницы без бурта'!F1108</f>
        <v>72.48652 - 1</v>
      </c>
      <c r="AI1108" s="56">
        <f>'[2]Изложницы без бурта'!G1108</f>
        <v>7260095</v>
      </c>
      <c r="AJ1108" s="56">
        <f>'[2]Изложницы без бурта'!H1108</f>
        <v>0</v>
      </c>
      <c r="AK1108" s="56">
        <f>'[2]Изложницы без бурта'!I1108</f>
        <v>0</v>
      </c>
      <c r="AL1108" s="56" t="s">
        <v>726</v>
      </c>
      <c r="AM1108" s="56">
        <f>'[2]Изложницы без бурта'!K1108</f>
        <v>0</v>
      </c>
    </row>
    <row r="1109" spans="28:39" x14ac:dyDescent="0.25">
      <c r="AB1109" s="253" t="str">
        <f t="shared" si="33"/>
        <v/>
      </c>
      <c r="AC1109" s="254">
        <f>IF(COUNTIF(AD$78:AD1109,AD1109)=1,MAX(AC$78:AC1108)+1,"")</f>
        <v>153</v>
      </c>
      <c r="AD1109" s="215">
        <f>'[2]Изложницы без бурта'!B1109</f>
        <v>555</v>
      </c>
      <c r="AE1109" s="215">
        <f>'[2]Изложницы без бурта'!C1109</f>
        <v>135</v>
      </c>
      <c r="AF1109" s="56">
        <f>'[2]Изложницы без бурта'!D1109</f>
        <v>640</v>
      </c>
      <c r="AG1109" s="56">
        <f>'[2]Изложницы без бурта'!E1109</f>
        <v>400</v>
      </c>
      <c r="AH1109" s="56" t="str">
        <f>'[2]Изложницы без бурта'!F1109</f>
        <v>72.47352 - 1</v>
      </c>
      <c r="AI1109" s="56">
        <f>'[2]Изложницы без бурта'!G1109</f>
        <v>0</v>
      </c>
      <c r="AJ1109" s="56">
        <f>'[2]Изложницы без бурта'!H1109</f>
        <v>0</v>
      </c>
      <c r="AK1109" s="56">
        <f>'[2]Изложницы без бурта'!I1109</f>
        <v>0</v>
      </c>
      <c r="AL1109" s="56" t="s">
        <v>727</v>
      </c>
      <c r="AM1109" s="56">
        <f>'[2]Изложницы без бурта'!K1109</f>
        <v>0</v>
      </c>
    </row>
    <row r="1110" spans="28:39" x14ac:dyDescent="0.25">
      <c r="AB1110" s="253" t="str">
        <f t="shared" si="33"/>
        <v/>
      </c>
      <c r="AC1110" s="254" t="str">
        <f>IF(COUNTIF(AD$78:AD1110,AD1110)=1,MAX(AC$78:AC1109)+1,"")</f>
        <v/>
      </c>
      <c r="AD1110" s="215">
        <f>'[2]Изложницы без бурта'!B1110</f>
        <v>555</v>
      </c>
      <c r="AE1110" s="215">
        <f>'[2]Изложницы без бурта'!C1110</f>
        <v>132</v>
      </c>
      <c r="AF1110" s="56">
        <f>'[2]Изложницы без бурта'!D1110</f>
        <v>640</v>
      </c>
      <c r="AG1110" s="56">
        <f>'[2]Изложницы без бурта'!E1110</f>
        <v>400</v>
      </c>
      <c r="AH1110" s="56" t="str">
        <f>'[2]Изложницы без бурта'!F1110</f>
        <v>72.47352 - 1</v>
      </c>
      <c r="AI1110" s="56">
        <f>'[2]Изложницы без бурта'!G1110</f>
        <v>0</v>
      </c>
      <c r="AJ1110" s="56">
        <f>'[2]Изложницы без бурта'!H1110</f>
        <v>0</v>
      </c>
      <c r="AK1110" s="56">
        <f>'[2]Изложницы без бурта'!I1110</f>
        <v>0</v>
      </c>
      <c r="AL1110" s="56" t="s">
        <v>727</v>
      </c>
      <c r="AM1110" s="56">
        <f>'[2]Изложницы без бурта'!K1110</f>
        <v>0</v>
      </c>
    </row>
    <row r="1111" spans="28:39" x14ac:dyDescent="0.25">
      <c r="AB1111" s="253" t="str">
        <f t="shared" si="33"/>
        <v/>
      </c>
      <c r="AC1111" s="254" t="str">
        <f>IF(COUNTIF(AD$78:AD1111,AD1111)=1,MAX(AC$78:AC1110)+1,"")</f>
        <v/>
      </c>
      <c r="AD1111" s="215">
        <f>'[2]Изложницы без бурта'!B1111</f>
        <v>555</v>
      </c>
      <c r="AE1111" s="215">
        <f>'[2]Изложницы без бурта'!C1111</f>
        <v>645</v>
      </c>
      <c r="AF1111" s="56">
        <f>'[2]Изложницы без бурта'!D1111</f>
        <v>640</v>
      </c>
      <c r="AG1111" s="56">
        <f>'[2]Изложницы без бурта'!E1111</f>
        <v>400</v>
      </c>
      <c r="AH1111" s="56" t="str">
        <f>'[2]Изложницы без бурта'!F1111</f>
        <v>72.47722 - 1</v>
      </c>
      <c r="AI1111" s="56">
        <f>'[2]Изложницы без бурта'!G1111</f>
        <v>0</v>
      </c>
      <c r="AJ1111" s="56" t="str">
        <f>'[2]Изложницы без бурта'!H1111</f>
        <v>ф зал.кр. = 150 (посадка 640)</v>
      </c>
      <c r="AK1111" s="56">
        <f>'[2]Изложницы без бурта'!I1111</f>
        <v>0</v>
      </c>
      <c r="AL1111" s="56" t="s">
        <v>727</v>
      </c>
      <c r="AM1111" s="56">
        <f>'[2]Изложницы без бурта'!K1111</f>
        <v>0</v>
      </c>
    </row>
    <row r="1112" spans="28:39" x14ac:dyDescent="0.25">
      <c r="AB1112" s="253" t="str">
        <f t="shared" si="33"/>
        <v/>
      </c>
      <c r="AC1112" s="254">
        <f>IF(COUNTIF(AD$78:AD1112,AD1112)=1,MAX(AC$78:AC1111)+1,"")</f>
        <v>154</v>
      </c>
      <c r="AD1112" s="215">
        <f>'[2]Изложницы без бурта'!B1112</f>
        <v>560</v>
      </c>
      <c r="AE1112" s="215">
        <f>'[2]Изложницы без бурта'!C1112</f>
        <v>135</v>
      </c>
      <c r="AF1112" s="56">
        <f>'[2]Изложницы без бурта'!D1112</f>
        <v>610</v>
      </c>
      <c r="AG1112" s="56">
        <f>'[2]Изложницы без бурта'!E1112</f>
        <v>400</v>
      </c>
      <c r="AH1112" s="56" t="str">
        <f>'[2]Изложницы без бурта'!F1112</f>
        <v>72.47352 - 1</v>
      </c>
      <c r="AI1112" s="56">
        <f>'[2]Изложницы без бурта'!G1112</f>
        <v>0</v>
      </c>
      <c r="AJ1112" s="56">
        <f>'[2]Изложницы без бурта'!H1112</f>
        <v>0</v>
      </c>
      <c r="AK1112" s="56">
        <f>'[2]Изложницы без бурта'!I1112</f>
        <v>0</v>
      </c>
      <c r="AL1112" s="56" t="s">
        <v>728</v>
      </c>
      <c r="AM1112" s="56">
        <f>'[2]Изложницы без бурта'!K1112</f>
        <v>0</v>
      </c>
    </row>
    <row r="1113" spans="28:39" x14ac:dyDescent="0.25">
      <c r="AB1113" s="253" t="str">
        <f t="shared" si="33"/>
        <v/>
      </c>
      <c r="AC1113" s="254">
        <f>IF(COUNTIF(AD$78:AD1113,AD1113)=1,MAX(AC$78:AC1112)+1,"")</f>
        <v>155</v>
      </c>
      <c r="AD1113" s="215">
        <f>'[2]Изложницы без бурта'!B1113</f>
        <v>565</v>
      </c>
      <c r="AE1113" s="215">
        <f>'[2]Изложницы без бурта'!C1113</f>
        <v>350</v>
      </c>
      <c r="AF1113" s="56">
        <f>'[2]Изложницы без бурта'!D1113</f>
        <v>640</v>
      </c>
      <c r="AG1113" s="56">
        <f>'[2]Изложницы без бурта'!E1113</f>
        <v>400</v>
      </c>
      <c r="AH1113" s="56" t="str">
        <f>'[2]Изложницы без бурта'!F1113</f>
        <v>72.47730 - 1</v>
      </c>
      <c r="AI1113" s="56">
        <f>'[2]Изложницы без бурта'!G1113</f>
        <v>7260096</v>
      </c>
      <c r="AJ1113" s="56" t="str">
        <f>'[2]Изложницы без бурта'!H1113</f>
        <v>могут выставить толкатель на меньшую рабочую длину  - 04.02.2021</v>
      </c>
      <c r="AK1113" s="56">
        <f>'[2]Изложницы без бурта'!I1113</f>
        <v>0</v>
      </c>
      <c r="AL1113" s="56" t="s">
        <v>729</v>
      </c>
      <c r="AM1113" s="56">
        <f>'[2]Изложницы без бурта'!K1113</f>
        <v>0</v>
      </c>
    </row>
    <row r="1114" spans="28:39" x14ac:dyDescent="0.25">
      <c r="AB1114" s="253" t="str">
        <f t="shared" si="33"/>
        <v/>
      </c>
      <c r="AC1114" s="254" t="str">
        <f>IF(COUNTIF(AD$78:AD1114,AD1114)=1,MAX(AC$78:AC1113)+1,"")</f>
        <v/>
      </c>
      <c r="AD1114" s="215">
        <f>'[2]Изложницы без бурта'!B1114</f>
        <v>565</v>
      </c>
      <c r="AE1114" s="215">
        <f>'[2]Изложницы без бурта'!C1114</f>
        <v>588</v>
      </c>
      <c r="AF1114" s="56">
        <f>'[2]Изложницы без бурта'!D1114</f>
        <v>640</v>
      </c>
      <c r="AG1114" s="56">
        <f>'[2]Изложницы без бурта'!E1114</f>
        <v>400</v>
      </c>
      <c r="AH1114" s="56" t="str">
        <f>'[2]Изложницы без бурта'!F1114</f>
        <v>72.47252 - 1</v>
      </c>
      <c r="AI1114" s="56">
        <f>'[2]Изложницы без бурта'!G1114</f>
        <v>7260097</v>
      </c>
      <c r="AJ1114" s="56">
        <f>'[2]Изложницы без бурта'!H1114</f>
        <v>0</v>
      </c>
      <c r="AK1114" s="56">
        <f>'[2]Изложницы без бурта'!I1114</f>
        <v>0</v>
      </c>
      <c r="AL1114" s="56" t="s">
        <v>729</v>
      </c>
      <c r="AM1114" s="56">
        <f>'[2]Изложницы без бурта'!K1114</f>
        <v>0</v>
      </c>
    </row>
    <row r="1115" spans="28:39" x14ac:dyDescent="0.25">
      <c r="AB1115" s="253" t="str">
        <f t="shared" si="33"/>
        <v/>
      </c>
      <c r="AC1115" s="254">
        <f>IF(COUNTIF(AD$78:AD1115,AD1115)=1,MAX(AC$78:AC1114)+1,"")</f>
        <v>156</v>
      </c>
      <c r="AD1115" s="215">
        <f>'[2]Изложницы без бурта'!B1115</f>
        <v>572.5</v>
      </c>
      <c r="AE1115" s="215">
        <f>'[2]Изложницы без бурта'!C1115</f>
        <v>645</v>
      </c>
      <c r="AF1115" s="56">
        <f>'[2]Изложницы без бурта'!D1115</f>
        <v>670</v>
      </c>
      <c r="AG1115" s="56">
        <f>'[2]Изложницы без бурта'!E1115</f>
        <v>400</v>
      </c>
      <c r="AH1115" s="56" t="str">
        <f>'[2]Изложницы без бурта'!F1115</f>
        <v>72.47722 - 1</v>
      </c>
      <c r="AI1115" s="56">
        <f>'[2]Изложницы без бурта'!G1115</f>
        <v>7260098</v>
      </c>
      <c r="AJ1115" s="56">
        <f>'[2]Изложницы без бурта'!H1115</f>
        <v>0</v>
      </c>
      <c r="AK1115" s="56">
        <f>'[2]Изложницы без бурта'!I1115</f>
        <v>0</v>
      </c>
      <c r="AL1115" s="56" t="s">
        <v>730</v>
      </c>
      <c r="AM1115" s="56">
        <f>'[2]Изложницы без бурта'!K1115</f>
        <v>0</v>
      </c>
    </row>
    <row r="1116" spans="28:39" x14ac:dyDescent="0.25">
      <c r="AB1116" s="253" t="str">
        <f t="shared" si="33"/>
        <v/>
      </c>
      <c r="AC1116" s="254">
        <f>IF(COUNTIF(AD$78:AD1116,AD1116)=1,MAX(AC$78:AC1115)+1,"")</f>
        <v>157</v>
      </c>
      <c r="AD1116" s="215">
        <f>'[2]Изложницы без бурта'!B1116</f>
        <v>575</v>
      </c>
      <c r="AE1116" s="215">
        <f>'[2]Изложницы без бурта'!C1116</f>
        <v>280</v>
      </c>
      <c r="AF1116" s="56">
        <f>'[2]Изложницы без бурта'!D1116</f>
        <v>640</v>
      </c>
      <c r="AG1116" s="56">
        <f>'[2]Изложницы без бурта'!E1116</f>
        <v>400</v>
      </c>
      <c r="AH1116" s="56" t="str">
        <f>'[2]Изложницы без бурта'!F1116</f>
        <v>72.47345 - 1</v>
      </c>
      <c r="AI1116" s="56">
        <f>'[2]Изложницы без бурта'!G1116</f>
        <v>7260099</v>
      </c>
      <c r="AJ1116" s="56" t="str">
        <f>'[2]Изложницы без бурта'!H1116</f>
        <v>могут выставить толкатель на меньшую рабочую длину  - 04.02.2021</v>
      </c>
      <c r="AK1116" s="56">
        <f>'[2]Изложницы без бурта'!I1116</f>
        <v>0</v>
      </c>
      <c r="AL1116" s="56" t="s">
        <v>731</v>
      </c>
      <c r="AM1116" s="56">
        <f>'[2]Изложницы без бурта'!K1116</f>
        <v>0</v>
      </c>
    </row>
    <row r="1117" spans="28:39" x14ac:dyDescent="0.25">
      <c r="AB1117" s="253" t="str">
        <f t="shared" si="33"/>
        <v/>
      </c>
      <c r="AC1117" s="254" t="str">
        <f>IF(COUNTIF(AD$78:AD1117,AD1117)=1,MAX(AC$78:AC1116)+1,"")</f>
        <v/>
      </c>
      <c r="AD1117" s="215">
        <f>'[2]Изложницы без бурта'!B1117</f>
        <v>575</v>
      </c>
      <c r="AE1117" s="215">
        <f>'[2]Изложницы без бурта'!C1117</f>
        <v>483</v>
      </c>
      <c r="AF1117" s="56">
        <f>'[2]Изложницы без бурта'!D1117</f>
        <v>640</v>
      </c>
      <c r="AG1117" s="56">
        <f>'[2]Изложницы без бурта'!E1117</f>
        <v>400</v>
      </c>
      <c r="AH1117" s="56" t="str">
        <f>'[2]Изложницы без бурта'!F1117</f>
        <v>10.245420 - 1</v>
      </c>
      <c r="AI1117" s="56">
        <f>'[2]Изложницы без бурта'!G1117</f>
        <v>7260100</v>
      </c>
      <c r="AJ1117" s="56">
        <f>'[2]Изложницы без бурта'!H1117</f>
        <v>0</v>
      </c>
      <c r="AK1117" s="56">
        <f>'[2]Изложницы без бурта'!I1117</f>
        <v>0</v>
      </c>
      <c r="AL1117" s="56" t="s">
        <v>731</v>
      </c>
      <c r="AM1117" s="56">
        <f>'[2]Изложницы без бурта'!K1117</f>
        <v>0</v>
      </c>
    </row>
    <row r="1118" spans="28:39" x14ac:dyDescent="0.25">
      <c r="AB1118" s="253" t="str">
        <f t="shared" si="33"/>
        <v/>
      </c>
      <c r="AC1118" s="254">
        <f>IF(COUNTIF(AD$78:AD1118,AD1118)=1,MAX(AC$78:AC1117)+1,"")</f>
        <v>158</v>
      </c>
      <c r="AD1118" s="215">
        <f>'[2]Изложницы без бурта'!B1118</f>
        <v>580</v>
      </c>
      <c r="AE1118" s="215">
        <f>'[2]Изложницы без бурта'!C1118</f>
        <v>457</v>
      </c>
      <c r="AF1118" s="56">
        <f>'[2]Изложницы без бурта'!D1118</f>
        <v>670</v>
      </c>
      <c r="AG1118" s="56">
        <f>'[2]Изложницы без бурта'!E1118</f>
        <v>400</v>
      </c>
      <c r="AH1118" s="56" t="str">
        <f>'[2]Изложницы без бурта'!F1118</f>
        <v>10.245420 - 1</v>
      </c>
      <c r="AI1118" s="56">
        <f>'[2]Изложницы без бурта'!G1118</f>
        <v>0</v>
      </c>
      <c r="AJ1118" s="56">
        <f>'[2]Изложницы без бурта'!H1118</f>
        <v>0</v>
      </c>
      <c r="AK1118" s="56">
        <f>'[2]Изложницы без бурта'!I1118</f>
        <v>0</v>
      </c>
      <c r="AL1118" s="56" t="s">
        <v>732</v>
      </c>
      <c r="AM1118" s="56">
        <f>'[2]Изложницы без бурта'!K1118</f>
        <v>0</v>
      </c>
    </row>
    <row r="1119" spans="28:39" x14ac:dyDescent="0.25">
      <c r="AB1119" s="253" t="str">
        <f t="shared" si="33"/>
        <v/>
      </c>
      <c r="AC1119" s="254">
        <f>IF(COUNTIF(AD$78:AD1119,AD1119)=1,MAX(AC$78:AC1118)+1,"")</f>
        <v>159</v>
      </c>
      <c r="AD1119" s="215">
        <f>'[2]Изложницы без бурта'!B1119</f>
        <v>585</v>
      </c>
      <c r="AE1119" s="215">
        <f>'[2]Изложницы без бурта'!C1119</f>
        <v>315</v>
      </c>
      <c r="AF1119" s="56">
        <f>'[2]Изложницы без бурта'!D1119</f>
        <v>700</v>
      </c>
      <c r="AG1119" s="56">
        <f>'[2]Изложницы без бурта'!E1119</f>
        <v>400</v>
      </c>
      <c r="AH1119" s="56" t="str">
        <f>'[2]Изложницы без бурта'!F1119</f>
        <v>10.252631 - 3</v>
      </c>
      <c r="AI1119" s="56">
        <f>'[2]Изложницы без бурта'!G1119</f>
        <v>7260101</v>
      </c>
      <c r="AJ1119" s="56" t="str">
        <f>'[2]Изложницы без бурта'!H1119</f>
        <v>могут выставить рабочую длину 100мм - 10.02.2021</v>
      </c>
      <c r="AK1119" s="56">
        <f>'[2]Изложницы без бурта'!I1119</f>
        <v>0</v>
      </c>
      <c r="AL1119" s="56" t="s">
        <v>733</v>
      </c>
      <c r="AM1119" s="56">
        <f>'[2]Изложницы без бурта'!K1119</f>
        <v>0</v>
      </c>
    </row>
    <row r="1120" spans="28:39" x14ac:dyDescent="0.25">
      <c r="AB1120" s="253" t="str">
        <f t="shared" si="33"/>
        <v/>
      </c>
      <c r="AC1120" s="254" t="str">
        <f>IF(COUNTIF(AD$78:AD1120,AD1120)=1,MAX(AC$78:AC1119)+1,"")</f>
        <v/>
      </c>
      <c r="AD1120" s="215">
        <f>'[2]Изложницы без бурта'!B1120</f>
        <v>585</v>
      </c>
      <c r="AE1120" s="215">
        <f>'[2]Изложницы без бурта'!C1120</f>
        <v>360</v>
      </c>
      <c r="AF1120" s="56">
        <f>'[2]Изложницы без бурта'!D1120</f>
        <v>670</v>
      </c>
      <c r="AG1120" s="56">
        <f>'[2]Изложницы без бурта'!E1120</f>
        <v>400</v>
      </c>
      <c r="AH1120" s="56" t="str">
        <f>'[2]Изложницы без бурта'!F1120</f>
        <v>10.252638 - 1</v>
      </c>
      <c r="AI1120" s="56">
        <f>'[2]Изложницы без бурта'!G1120</f>
        <v>0</v>
      </c>
      <c r="AJ1120" s="56">
        <f>'[2]Изложницы без бурта'!H1120</f>
        <v>0</v>
      </c>
      <c r="AK1120" s="56">
        <f>'[2]Изложницы без бурта'!I1120</f>
        <v>0</v>
      </c>
      <c r="AL1120" s="56" t="s">
        <v>733</v>
      </c>
      <c r="AM1120" s="56">
        <f>'[2]Изложницы без бурта'!K1120</f>
        <v>0</v>
      </c>
    </row>
    <row r="1121" spans="28:39" x14ac:dyDescent="0.25">
      <c r="AB1121" s="253" t="str">
        <f t="shared" si="33"/>
        <v/>
      </c>
      <c r="AC1121" s="254">
        <f>IF(COUNTIF(AD$78:AD1121,AD1121)=1,MAX(AC$78:AC1120)+1,"")</f>
        <v>160</v>
      </c>
      <c r="AD1121" s="215">
        <f>'[2]Изложницы без бурта'!B1121</f>
        <v>590</v>
      </c>
      <c r="AE1121" s="215">
        <f>'[2]Изложницы без бурта'!C1121</f>
        <v>363</v>
      </c>
      <c r="AF1121" s="56">
        <f>'[2]Изложницы без бурта'!D1121</f>
        <v>700</v>
      </c>
      <c r="AG1121" s="56">
        <f>'[2]Изложницы без бурта'!E1121</f>
        <v>400</v>
      </c>
      <c r="AH1121" s="56" t="str">
        <f>'[2]Изложницы без бурта'!F1121</f>
        <v>10.252638 - 1</v>
      </c>
      <c r="AI1121" s="56">
        <f>'[2]Изложницы без бурта'!G1121</f>
        <v>0</v>
      </c>
      <c r="AJ1121" s="56" t="str">
        <f>'[2]Изложницы без бурта'!H1121</f>
        <v>расточен с ф=585</v>
      </c>
      <c r="AK1121" s="56">
        <f>'[2]Изложницы без бурта'!I1121</f>
        <v>0</v>
      </c>
      <c r="AL1121" s="56" t="s">
        <v>734</v>
      </c>
      <c r="AM1121" s="56">
        <f>'[2]Изложницы без бурта'!K1121</f>
        <v>0</v>
      </c>
    </row>
    <row r="1122" spans="28:39" x14ac:dyDescent="0.25">
      <c r="AB1122" s="253" t="str">
        <f t="shared" si="33"/>
        <v/>
      </c>
      <c r="AC1122" s="254">
        <f>IF(COUNTIF(AD$78:AD1122,AD1122)=1,MAX(AC$78:AC1121)+1,"")</f>
        <v>161</v>
      </c>
      <c r="AD1122" s="215">
        <f>'[2]Изложницы без бурта'!B1122</f>
        <v>592.5</v>
      </c>
      <c r="AE1122" s="215">
        <f>'[2]Изложницы без бурта'!C1122</f>
        <v>270</v>
      </c>
      <c r="AF1122" s="56">
        <f>'[2]Изложницы без бурта'!D1122</f>
        <v>700</v>
      </c>
      <c r="AG1122" s="56">
        <f>'[2]Изложницы без бурта'!E1122</f>
        <v>400</v>
      </c>
      <c r="AH1122" s="56" t="str">
        <f>'[2]Изложницы без бурта'!F1122</f>
        <v>72.47345 - 2</v>
      </c>
      <c r="AI1122" s="56">
        <f>'[2]Изложницы без бурта'!G1122</f>
        <v>7260102</v>
      </c>
      <c r="AJ1122" s="56">
        <f>'[2]Изложницы без бурта'!H1122</f>
        <v>0</v>
      </c>
      <c r="AK1122" s="56">
        <f>'[2]Изложницы без бурта'!I1122</f>
        <v>0</v>
      </c>
      <c r="AL1122" s="56" t="s">
        <v>735</v>
      </c>
      <c r="AM1122" s="56">
        <f>'[2]Изложницы без бурта'!K1122</f>
        <v>0</v>
      </c>
    </row>
    <row r="1123" spans="28:39" x14ac:dyDescent="0.25">
      <c r="AB1123" s="253" t="str">
        <f t="shared" si="33"/>
        <v/>
      </c>
      <c r="AC1123" s="254">
        <f>IF(COUNTIF(AD$78:AD1123,AD1123)=1,MAX(AC$78:AC1122)+1,"")</f>
        <v>162</v>
      </c>
      <c r="AD1123" s="215">
        <f>'[2]Изложницы без бурта'!B1123</f>
        <v>595</v>
      </c>
      <c r="AE1123" s="215">
        <f>'[2]Изложницы без бурта'!C1123</f>
        <v>300</v>
      </c>
      <c r="AF1123" s="56">
        <f>'[2]Изложницы без бурта'!D1123</f>
        <v>670</v>
      </c>
      <c r="AG1123" s="56">
        <f>'[2]Изложницы без бурта'!E1123</f>
        <v>400</v>
      </c>
      <c r="AH1123" s="56" t="str">
        <f>'[2]Изложницы без бурта'!F1123</f>
        <v>10.254087 - 1</v>
      </c>
      <c r="AI1123" s="56">
        <f>'[2]Изложницы без бурта'!G1123</f>
        <v>0</v>
      </c>
      <c r="AJ1123" s="56">
        <f>'[2]Изложницы без бурта'!H1123</f>
        <v>0</v>
      </c>
      <c r="AK1123" s="56">
        <f>'[2]Изложницы без бурта'!I1123</f>
        <v>0</v>
      </c>
      <c r="AL1123" s="56" t="s">
        <v>736</v>
      </c>
      <c r="AM1123" s="56">
        <f>'[2]Изложницы без бурта'!K1123</f>
        <v>0</v>
      </c>
    </row>
    <row r="1124" spans="28:39" x14ac:dyDescent="0.25">
      <c r="AB1124" s="253" t="str">
        <f t="shared" si="33"/>
        <v/>
      </c>
      <c r="AC1124" s="254">
        <f>IF(COUNTIF(AD$78:AD1124,AD1124)=1,MAX(AC$78:AC1123)+1,"")</f>
        <v>163</v>
      </c>
      <c r="AD1124" s="215">
        <f>'[2]Изложницы без бурта'!B1124</f>
        <v>597.5</v>
      </c>
      <c r="AE1124" s="215">
        <f>'[2]Изложницы без бурта'!C1124</f>
        <v>592</v>
      </c>
      <c r="AF1124" s="56">
        <f>'[2]Изложницы без бурта'!D1124</f>
        <v>700</v>
      </c>
      <c r="AG1124" s="56">
        <f>'[2]Изложницы без бурта'!E1124</f>
        <v>400</v>
      </c>
      <c r="AH1124" s="56" t="str">
        <f>'[2]Изложницы без бурта'!F1124</f>
        <v>10.240253 - 1</v>
      </c>
      <c r="AI1124" s="56">
        <f>'[2]Изложницы без бурта'!G1124</f>
        <v>0</v>
      </c>
      <c r="AJ1124" s="56">
        <f>'[2]Изложницы без бурта'!H1124</f>
        <v>0</v>
      </c>
      <c r="AK1124" s="56">
        <f>'[2]Изложницы без бурта'!I1124</f>
        <v>0</v>
      </c>
      <c r="AL1124" s="56" t="s">
        <v>737</v>
      </c>
      <c r="AM1124" s="56">
        <f>'[2]Изложницы без бурта'!K1124</f>
        <v>0</v>
      </c>
    </row>
    <row r="1125" spans="28:39" x14ac:dyDescent="0.25">
      <c r="AB1125" s="253" t="str">
        <f t="shared" si="33"/>
        <v/>
      </c>
      <c r="AC1125" s="254">
        <f>IF(COUNTIF(AD$78:AD1125,AD1125)=1,MAX(AC$78:AC1124)+1,"")</f>
        <v>164</v>
      </c>
      <c r="AD1125" s="215">
        <f>'[2]Изложницы без бурта'!B1125</f>
        <v>600</v>
      </c>
      <c r="AE1125" s="215">
        <f>'[2]Изложницы без бурта'!C1125</f>
        <v>260</v>
      </c>
      <c r="AF1125" s="56">
        <f>'[2]Изложницы без бурта'!D1125</f>
        <v>670</v>
      </c>
      <c r="AG1125" s="56">
        <f>'[2]Изложницы без бурта'!E1125</f>
        <v>400</v>
      </c>
      <c r="AH1125" s="56" t="str">
        <f>'[2]Изложницы без бурта'!F1125</f>
        <v>72.46042 - 1</v>
      </c>
      <c r="AI1125" s="56">
        <f>'[2]Изложницы без бурта'!G1125</f>
        <v>7260103</v>
      </c>
      <c r="AJ1125" s="56">
        <f>'[2]Изложницы без бурта'!H1125</f>
        <v>0</v>
      </c>
      <c r="AK1125" s="56">
        <f>'[2]Изложницы без бурта'!I1125</f>
        <v>0</v>
      </c>
      <c r="AL1125" s="56" t="s">
        <v>738</v>
      </c>
      <c r="AM1125" s="56">
        <f>'[2]Изложницы без бурта'!K1125</f>
        <v>0</v>
      </c>
    </row>
    <row r="1126" spans="28:39" x14ac:dyDescent="0.25">
      <c r="AB1126" s="253" t="str">
        <f t="shared" si="33"/>
        <v/>
      </c>
      <c r="AC1126" s="254">
        <f>IF(COUNTIF(AD$78:AD1126,AD1126)=1,MAX(AC$78:AC1125)+1,"")</f>
        <v>165</v>
      </c>
      <c r="AD1126" s="215">
        <f>'[2]Изложницы без бурта'!B1126</f>
        <v>610</v>
      </c>
      <c r="AE1126" s="215">
        <f>'[2]Изложницы без бурта'!C1126</f>
        <v>643</v>
      </c>
      <c r="AF1126" s="56">
        <f>'[2]Изложницы без бурта'!D1126</f>
        <v>670</v>
      </c>
      <c r="AG1126" s="56">
        <f>'[2]Изложницы без бурта'!E1126</f>
        <v>400</v>
      </c>
      <c r="AH1126" s="56" t="str">
        <f>'[2]Изложницы без бурта'!F1126</f>
        <v>10.240253 - 1</v>
      </c>
      <c r="AI1126" s="56">
        <f>'[2]Изложницы без бурта'!G1126</f>
        <v>0</v>
      </c>
      <c r="AJ1126" s="56">
        <f>'[2]Изложницы без бурта'!H1126</f>
        <v>0</v>
      </c>
      <c r="AK1126" s="56">
        <f>'[2]Изложницы без бурта'!I1126</f>
        <v>0</v>
      </c>
      <c r="AL1126" s="56" t="s">
        <v>739</v>
      </c>
      <c r="AM1126" s="56">
        <f>'[2]Изложницы без бурта'!K1126</f>
        <v>0</v>
      </c>
    </row>
    <row r="1127" spans="28:39" x14ac:dyDescent="0.25">
      <c r="AB1127" s="253" t="str">
        <f t="shared" si="33"/>
        <v/>
      </c>
      <c r="AC1127" s="254" t="str">
        <f>IF(COUNTIF(AD$78:AD1127,AD1127)=1,MAX(AC$78:AC1126)+1,"")</f>
        <v/>
      </c>
      <c r="AD1127" s="215">
        <f>'[2]Изложницы без бурта'!B1127</f>
        <v>610</v>
      </c>
      <c r="AE1127" s="215">
        <f>'[2]Изложницы без бурта'!C1127</f>
        <v>420</v>
      </c>
      <c r="AF1127" s="56">
        <f>'[2]Изложницы без бурта'!D1127</f>
        <v>700</v>
      </c>
      <c r="AG1127" s="56">
        <f>'[2]Изложницы без бурта'!E1127</f>
        <v>400</v>
      </c>
      <c r="AH1127" s="56" t="str">
        <f>'[2]Изложницы без бурта'!F1127</f>
        <v>72.47354 - 1</v>
      </c>
      <c r="AI1127" s="56">
        <f>'[2]Изложницы без бурта'!G1127</f>
        <v>0</v>
      </c>
      <c r="AJ1127" s="56">
        <f>'[2]Изложницы без бурта'!H1127</f>
        <v>0</v>
      </c>
      <c r="AK1127" s="56">
        <f>'[2]Изложницы без бурта'!I1127</f>
        <v>0</v>
      </c>
      <c r="AL1127" s="56" t="s">
        <v>739</v>
      </c>
      <c r="AM1127" s="56">
        <f>'[2]Изложницы без бурта'!K1127</f>
        <v>0</v>
      </c>
    </row>
    <row r="1128" spans="28:39" x14ac:dyDescent="0.25">
      <c r="AB1128" s="253" t="str">
        <f t="shared" si="33"/>
        <v/>
      </c>
      <c r="AC1128" s="254">
        <f>IF(COUNTIF(AD$78:AD1128,AD1128)=1,MAX(AC$78:AC1127)+1,"")</f>
        <v>166</v>
      </c>
      <c r="AD1128" s="215">
        <f>'[2]Изложницы без бурта'!B1128</f>
        <v>620</v>
      </c>
      <c r="AE1128" s="215">
        <f>'[2]Изложницы без бурта'!C1128</f>
        <v>640</v>
      </c>
      <c r="AF1128" s="56">
        <f>'[2]Изложницы без бурта'!D1128</f>
        <v>700</v>
      </c>
      <c r="AG1128" s="56">
        <f>'[2]Изложницы без бурта'!E1128</f>
        <v>400</v>
      </c>
      <c r="AH1128" s="56" t="str">
        <f>'[2]Изложницы без бурта'!F1128</f>
        <v>10.240253 - 1</v>
      </c>
      <c r="AI1128" s="56">
        <f>'[2]Изложницы без бурта'!G1128</f>
        <v>7260104</v>
      </c>
      <c r="AJ1128" s="56">
        <f>'[2]Изложницы без бурта'!H1128</f>
        <v>0</v>
      </c>
      <c r="AK1128" s="56">
        <f>'[2]Изложницы без бурта'!I1128</f>
        <v>0</v>
      </c>
      <c r="AL1128" s="56" t="s">
        <v>740</v>
      </c>
      <c r="AM1128" s="56">
        <f>'[2]Изложницы без бурта'!K1128</f>
        <v>0</v>
      </c>
    </row>
    <row r="1129" spans="28:39" x14ac:dyDescent="0.25">
      <c r="AB1129" s="253" t="str">
        <f t="shared" si="33"/>
        <v/>
      </c>
      <c r="AC1129" s="254">
        <f>IF(COUNTIF(AD$78:AD1129,AD1129)=1,MAX(AC$78:AC1128)+1,"")</f>
        <v>167</v>
      </c>
      <c r="AD1129" s="215">
        <f>'[2]Изложницы без бурта'!B1129</f>
        <v>622.5</v>
      </c>
      <c r="AE1129" s="215">
        <f>'[2]Изложницы без бурта'!C1129</f>
        <v>200</v>
      </c>
      <c r="AF1129" s="56">
        <f>'[2]Изложницы без бурта'!D1129</f>
        <v>700</v>
      </c>
      <c r="AG1129" s="56">
        <f>'[2]Изложницы без бурта'!E1129</f>
        <v>400</v>
      </c>
      <c r="AH1129" s="56" t="str">
        <f>'[2]Изложницы без бурта'!F1129</f>
        <v>10.246214 - 8</v>
      </c>
      <c r="AI1129" s="56">
        <f>'[2]Изложницы без бурта'!G1129</f>
        <v>7260105</v>
      </c>
      <c r="AJ1129" s="56" t="str">
        <f>'[2]Изложницы без бурта'!H1129</f>
        <v>Толкатель утоплен в кокиль (рабочая длина-200 мм)</v>
      </c>
      <c r="AK1129" s="56">
        <f>'[2]Изложницы без бурта'!I1129</f>
        <v>0</v>
      </c>
      <c r="AL1129" s="56" t="s">
        <v>741</v>
      </c>
      <c r="AM1129" s="56">
        <f>'[2]Изложницы без бурта'!K1129</f>
        <v>0</v>
      </c>
    </row>
    <row r="1130" spans="28:39" x14ac:dyDescent="0.25">
      <c r="AB1130" s="253" t="str">
        <f t="shared" si="33"/>
        <v/>
      </c>
      <c r="AC1130" s="254">
        <f>IF(COUNTIF(AD$78:AD1130,AD1130)=1,MAX(AC$78:AC1129)+1,"")</f>
        <v>168</v>
      </c>
      <c r="AD1130" s="215">
        <f>'[2]Изложницы без бурта'!B1130</f>
        <v>625</v>
      </c>
      <c r="AE1130" s="215">
        <f>'[2]Изложницы без бурта'!C1130</f>
        <v>200</v>
      </c>
      <c r="AF1130" s="56">
        <f>'[2]Изложницы без бурта'!D1130</f>
        <v>700</v>
      </c>
      <c r="AG1130" s="56">
        <f>'[2]Изложницы без бурта'!E1130</f>
        <v>400</v>
      </c>
      <c r="AH1130" s="56" t="str">
        <f>'[2]Изложницы без бурта'!F1130</f>
        <v>10.246214 - 9</v>
      </c>
      <c r="AI1130" s="56">
        <f>'[2]Изложницы без бурта'!G1130</f>
        <v>7260105</v>
      </c>
      <c r="AJ1130" s="56">
        <f>'[2]Изложницы без бурта'!H1130</f>
        <v>0</v>
      </c>
      <c r="AK1130" s="56">
        <f>'[2]Изложницы без бурта'!I1130</f>
        <v>0</v>
      </c>
      <c r="AL1130" s="56" t="s">
        <v>742</v>
      </c>
      <c r="AM1130" s="56">
        <f>'[2]Изложницы без бурта'!K1130</f>
        <v>0</v>
      </c>
    </row>
    <row r="1131" spans="28:39" x14ac:dyDescent="0.25">
      <c r="AB1131" s="253" t="str">
        <f t="shared" si="33"/>
        <v/>
      </c>
      <c r="AC1131" s="254">
        <f>IF(COUNTIF(AD$78:AD1131,AD1131)=1,MAX(AC$78:AC1130)+1,"")</f>
        <v>169</v>
      </c>
      <c r="AD1131" s="215">
        <f>'[2]Изложницы без бурта'!B1131</f>
        <v>627.5</v>
      </c>
      <c r="AE1131" s="215">
        <f>'[2]Изложницы без бурта'!C1131</f>
        <v>200</v>
      </c>
      <c r="AF1131" s="56">
        <f>'[2]Изложницы без бурта'!D1131</f>
        <v>670</v>
      </c>
      <c r="AG1131" s="56">
        <f>'[2]Изложницы без бурта'!E1131</f>
        <v>400</v>
      </c>
      <c r="AH1131" s="56" t="str">
        <f>'[2]Изложницы без бурта'!F1131</f>
        <v>72.480019 - б/н</v>
      </c>
      <c r="AI1131" s="56">
        <f>'[2]Изложницы без бурта'!G1131</f>
        <v>7260105</v>
      </c>
      <c r="AJ1131" s="56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6">
        <f>'[2]Изложницы без бурта'!I1131</f>
        <v>0</v>
      </c>
      <c r="AL1131" s="56" t="s">
        <v>743</v>
      </c>
      <c r="AM1131" s="56">
        <f>'[2]Изложницы без бурта'!K1131</f>
        <v>0</v>
      </c>
    </row>
    <row r="1132" spans="28:39" x14ac:dyDescent="0.25">
      <c r="AB1132" s="253" t="str">
        <f t="shared" si="33"/>
        <v/>
      </c>
      <c r="AC1132" s="254">
        <f>IF(COUNTIF(AD$78:AD1132,AD1132)=1,MAX(AC$78:AC1131)+1,"")</f>
        <v>170</v>
      </c>
      <c r="AD1132" s="215">
        <f>'[2]Изложницы без бурта'!B1132</f>
        <v>630</v>
      </c>
      <c r="AE1132" s="215">
        <f>'[2]Изложницы без бурта'!C1132</f>
        <v>420</v>
      </c>
      <c r="AF1132" s="56">
        <f>'[2]Изложницы без бурта'!D1132</f>
        <v>700</v>
      </c>
      <c r="AG1132" s="56">
        <f>'[2]Изложницы без бурта'!E1132</f>
        <v>400</v>
      </c>
      <c r="AH1132" s="56" t="str">
        <f>'[2]Изложницы без бурта'!F1132</f>
        <v>72.49192 - 1</v>
      </c>
      <c r="AI1132" s="56">
        <f>'[2]Изложницы без бурта'!G1132</f>
        <v>0</v>
      </c>
      <c r="AJ1132" s="56">
        <f>'[2]Изложницы без бурта'!H1132</f>
        <v>0</v>
      </c>
      <c r="AK1132" s="56">
        <f>'[2]Изложницы без бурта'!I1132</f>
        <v>0</v>
      </c>
      <c r="AL1132" s="56" t="s">
        <v>744</v>
      </c>
      <c r="AM1132" s="56">
        <f>'[2]Изложницы без бурта'!K1132</f>
        <v>0</v>
      </c>
    </row>
    <row r="1133" spans="28:39" x14ac:dyDescent="0.25">
      <c r="AB1133" s="253" t="str">
        <f t="shared" si="33"/>
        <v/>
      </c>
      <c r="AC1133" s="254">
        <f>IF(COUNTIF(AD$78:AD1133,AD1133)=1,MAX(AC$78:AC1132)+1,"")</f>
        <v>171</v>
      </c>
      <c r="AD1133" s="215">
        <f>'[2]Изложницы без бурта'!B1133</f>
        <v>635</v>
      </c>
      <c r="AE1133" s="215">
        <f>'[2]Изложницы без бурта'!C1133</f>
        <v>320</v>
      </c>
      <c r="AF1133" s="56">
        <f>'[2]Изложницы без бурта'!D1133</f>
        <v>700</v>
      </c>
      <c r="AG1133" s="56">
        <f>'[2]Изложницы без бурта'!E1133</f>
        <v>400</v>
      </c>
      <c r="AH1133" s="56" t="str">
        <f>'[2]Изложницы без бурта'!F1133</f>
        <v>72.11867 - 11</v>
      </c>
      <c r="AI1133" s="56">
        <f>'[2]Изложницы без бурта'!G1133</f>
        <v>0</v>
      </c>
      <c r="AJ1133" s="56">
        <f>'[2]Изложницы без бурта'!H1133</f>
        <v>0</v>
      </c>
      <c r="AK1133" s="56">
        <f>'[2]Изложницы без бурта'!I1133</f>
        <v>0</v>
      </c>
      <c r="AL1133" s="56" t="s">
        <v>745</v>
      </c>
      <c r="AM1133" s="56">
        <f>'[2]Изложницы без бурта'!K1133</f>
        <v>0</v>
      </c>
    </row>
    <row r="1134" spans="28:39" x14ac:dyDescent="0.25">
      <c r="AB1134" s="253" t="str">
        <f t="shared" si="33"/>
        <v/>
      </c>
      <c r="AC1134" s="254" t="str">
        <f>IF(COUNTIF(AD$78:AD1134,AD1134)=1,MAX(AC$78:AC1133)+1,"")</f>
        <v/>
      </c>
      <c r="AD1134" s="215">
        <f>'[2]Изложницы без бурта'!B1134</f>
        <v>635</v>
      </c>
      <c r="AE1134" s="215">
        <f>'[2]Изложницы без бурта'!C1134</f>
        <v>420</v>
      </c>
      <c r="AF1134" s="56">
        <f>'[2]Изложницы без бурта'!D1134</f>
        <v>700</v>
      </c>
      <c r="AG1134" s="56">
        <f>'[2]Изложницы без бурта'!E1134</f>
        <v>400</v>
      </c>
      <c r="AH1134" s="56" t="str">
        <f>'[2]Изложницы без бурта'!F1134</f>
        <v>72.11867 - 11</v>
      </c>
      <c r="AI1134" s="56">
        <f>'[2]Изложницы без бурта'!G1134</f>
        <v>0</v>
      </c>
      <c r="AJ1134" s="56">
        <f>'[2]Изложницы без бурта'!H1134</f>
        <v>0</v>
      </c>
      <c r="AK1134" s="56">
        <f>'[2]Изложницы без бурта'!I1134</f>
        <v>0</v>
      </c>
      <c r="AL1134" s="56" t="s">
        <v>745</v>
      </c>
      <c r="AM1134" s="56">
        <f>'[2]Изложницы без бурта'!K1134</f>
        <v>0</v>
      </c>
    </row>
    <row r="1135" spans="28:39" x14ac:dyDescent="0.25">
      <c r="AB1135" s="253" t="str">
        <f t="shared" si="33"/>
        <v/>
      </c>
      <c r="AC1135" s="254">
        <f>IF(COUNTIF(AD$78:AD1135,AD1135)=1,MAX(AC$78:AC1134)+1,"")</f>
        <v>172</v>
      </c>
      <c r="AD1135" s="215">
        <f>'[2]Изложницы без бурта'!B1135</f>
        <v>637.5</v>
      </c>
      <c r="AE1135" s="215">
        <f>'[2]Изложницы без бурта'!C1135</f>
        <v>470</v>
      </c>
      <c r="AF1135" s="56">
        <f>'[2]Изложницы без бурта'!D1135</f>
        <v>700</v>
      </c>
      <c r="AG1135" s="56">
        <f>'[2]Изложницы без бурта'!E1135</f>
        <v>400</v>
      </c>
      <c r="AH1135" s="56" t="str">
        <f>'[2]Изложницы без бурта'!F1135</f>
        <v>72.11867 - 11</v>
      </c>
      <c r="AI1135" s="56">
        <f>'[2]Изложницы без бурта'!G1135</f>
        <v>7260106</v>
      </c>
      <c r="AJ1135" s="56">
        <f>'[2]Изложницы без бурта'!H1135</f>
        <v>0</v>
      </c>
      <c r="AK1135" s="56">
        <f>'[2]Изложницы без бурта'!I1135</f>
        <v>0</v>
      </c>
      <c r="AL1135" s="56" t="s">
        <v>746</v>
      </c>
      <c r="AM1135" s="56">
        <f>'[2]Изложницы без бурта'!K1135</f>
        <v>0</v>
      </c>
    </row>
    <row r="1136" spans="28:39" x14ac:dyDescent="0.25">
      <c r="AB1136" s="253" t="str">
        <f t="shared" si="33"/>
        <v/>
      </c>
      <c r="AC1136" s="254">
        <f>IF(COUNTIF(AD$78:AD1136,AD1136)=1,MAX(AC$78:AC1135)+1,"")</f>
        <v>173</v>
      </c>
      <c r="AD1136" s="215">
        <f>'[2]Изложницы без бурта'!B1136</f>
        <v>642.5</v>
      </c>
      <c r="AE1136" s="215">
        <f>'[2]Изложницы без бурта'!C1136</f>
        <v>575</v>
      </c>
      <c r="AF1136" s="56">
        <f>'[2]Изложницы без бурта'!D1136</f>
        <v>700</v>
      </c>
      <c r="AG1136" s="56">
        <f>'[2]Изложницы без бурта'!E1136</f>
        <v>400</v>
      </c>
      <c r="AH1136" s="56" t="str">
        <f>'[2]Изложницы без бурта'!F1136</f>
        <v>72.11867 - 11</v>
      </c>
      <c r="AI1136" s="56">
        <f>'[2]Изложницы без бурта'!G1136</f>
        <v>7260107</v>
      </c>
      <c r="AJ1136" s="56" t="str">
        <f>'[2]Изложницы без бурта'!H1136</f>
        <v>665 - Размер возле заливочной крышки</v>
      </c>
      <c r="AK1136" s="56">
        <f>'[2]Изложницы без бурта'!I1136</f>
        <v>0</v>
      </c>
      <c r="AL1136" s="56" t="s">
        <v>1184</v>
      </c>
      <c r="AM1136" s="56">
        <f>'[2]Изложницы без бурта'!K1136</f>
        <v>0</v>
      </c>
    </row>
    <row r="1137" spans="28:39" x14ac:dyDescent="0.25">
      <c r="AB1137" s="253" t="str">
        <f t="shared" si="33"/>
        <v/>
      </c>
      <c r="AC1137" s="254">
        <f>IF(COUNTIF(AD$78:AD1137,AD1137)=1,MAX(AC$78:AC1136)+1,"")</f>
        <v>174</v>
      </c>
      <c r="AD1137" s="215">
        <f>'[2]Изложницы без бурта'!B1137</f>
        <v>650</v>
      </c>
      <c r="AE1137" s="215">
        <f>'[2]Изложницы без бурта'!C1137</f>
        <v>155</v>
      </c>
      <c r="AF1137" s="56">
        <f>'[2]Изложницы без бурта'!D1137</f>
        <v>700</v>
      </c>
      <c r="AG1137" s="56">
        <f>'[2]Изложницы без бурта'!E1137</f>
        <v>400</v>
      </c>
      <c r="AH1137" s="56" t="str">
        <f>'[2]Изложницы без бурта'!F1137</f>
        <v>72.11867 - 11</v>
      </c>
      <c r="AI1137" s="56" t="str">
        <f>'[2]Изложницы без бурта'!G1137</f>
        <v>Без толкателя</v>
      </c>
      <c r="AJ1137" s="56">
        <f>'[2]Изложницы без бурта'!H1137</f>
        <v>0</v>
      </c>
      <c r="AK1137" s="56">
        <f>'[2]Изложницы без бурта'!I1137</f>
        <v>0</v>
      </c>
      <c r="AL1137" s="56" t="s">
        <v>747</v>
      </c>
      <c r="AM1137" s="56">
        <f>'[2]Изложницы без бурта'!K1137</f>
        <v>0</v>
      </c>
    </row>
    <row r="1138" spans="28:39" x14ac:dyDescent="0.25">
      <c r="AB1138" s="253" t="str">
        <f t="shared" si="33"/>
        <v/>
      </c>
      <c r="AC1138" s="254" t="str">
        <f>IF(COUNTIF(AD$78:AD1138,AD1138)=1,MAX(AC$78:AC1137)+1,"")</f>
        <v/>
      </c>
      <c r="AD1138" s="215">
        <f>'[2]Изложницы без бурта'!B1138</f>
        <v>650</v>
      </c>
      <c r="AE1138" s="215">
        <f>'[2]Изложницы без бурта'!C1138</f>
        <v>153</v>
      </c>
      <c r="AF1138" s="56">
        <f>'[2]Изложницы без бурта'!D1138</f>
        <v>700</v>
      </c>
      <c r="AG1138" s="56">
        <f>'[2]Изложницы без бурта'!E1138</f>
        <v>400</v>
      </c>
      <c r="AH1138" s="56" t="str">
        <f>'[2]Изложницы без бурта'!F1138</f>
        <v>72.11867 - 11</v>
      </c>
      <c r="AI1138" s="56">
        <f>'[2]Изложницы без бурта'!G1138</f>
        <v>0</v>
      </c>
      <c r="AJ1138" s="56" t="str">
        <f>'[2]Изложницы без бурта'!H1138</f>
        <v>Заливочная крышка пос.700 - заливочное отв.-100мм</v>
      </c>
      <c r="AK1138" s="56">
        <f>'[2]Изложницы без бурта'!I1138</f>
        <v>0</v>
      </c>
      <c r="AL1138" s="56" t="s">
        <v>747</v>
      </c>
      <c r="AM1138" s="56">
        <f>'[2]Изложницы без бурта'!K1138</f>
        <v>0</v>
      </c>
    </row>
    <row r="1139" spans="28:39" x14ac:dyDescent="0.25">
      <c r="AB1139" s="253" t="str">
        <f t="shared" si="33"/>
        <v/>
      </c>
      <c r="AC1139" s="254" t="str">
        <f>IF(COUNTIF(AD$78:AD1139,AD1139)=1,MAX(AC$78:AC1138)+1,"")</f>
        <v/>
      </c>
      <c r="AD1139" s="215">
        <f>'[2]Изложницы без бурта'!B1139</f>
        <v>650</v>
      </c>
      <c r="AE1139" s="215">
        <f>'[2]Изложницы без бурта'!C1139</f>
        <v>155</v>
      </c>
      <c r="AF1139" s="56">
        <f>'[2]Изложницы без бурта'!D1139</f>
        <v>700</v>
      </c>
      <c r="AG1139" s="56">
        <f>'[2]Изложницы без бурта'!E1139</f>
        <v>400</v>
      </c>
      <c r="AH1139" s="56" t="str">
        <f>'[2]Изложницы без бурта'!F1139</f>
        <v>72.11867 - 11</v>
      </c>
      <c r="AI1139" s="56">
        <f>'[2]Изложницы без бурта'!G1139</f>
        <v>0</v>
      </c>
      <c r="AJ1139" s="56">
        <f>'[2]Изложницы без бурта'!H1139</f>
        <v>0</v>
      </c>
      <c r="AK1139" s="56">
        <f>'[2]Изложницы без бурта'!I1139</f>
        <v>0</v>
      </c>
      <c r="AL1139" s="56" t="s">
        <v>747</v>
      </c>
      <c r="AM1139" s="56">
        <f>'[2]Изложницы без бурта'!K1139</f>
        <v>0</v>
      </c>
    </row>
    <row r="1140" spans="28:39" x14ac:dyDescent="0.25">
      <c r="AB1140" s="253" t="str">
        <f t="shared" si="33"/>
        <v/>
      </c>
      <c r="AC1140" s="254" t="str">
        <f>IF(COUNTIF(AD$78:AD1140,AD1140)=1,MAX(AC$78:AC1139)+1,"")</f>
        <v/>
      </c>
      <c r="AD1140" s="215">
        <f>'[2]Изложницы без бурта'!B1140</f>
        <v>650</v>
      </c>
      <c r="AE1140" s="215">
        <f>'[2]Изложницы без бурта'!C1140</f>
        <v>150</v>
      </c>
      <c r="AF1140" s="56">
        <f>'[2]Изложницы без бурта'!D1140</f>
        <v>700</v>
      </c>
      <c r="AG1140" s="56">
        <f>'[2]Изложницы без бурта'!E1140</f>
        <v>400</v>
      </c>
      <c r="AH1140" s="56" t="str">
        <f>'[2]Изложницы без бурта'!F1140</f>
        <v>72.11867 - 11</v>
      </c>
      <c r="AI1140" s="56">
        <f>'[2]Изложницы без бурта'!G1140</f>
        <v>0</v>
      </c>
      <c r="AJ1140" s="56">
        <f>'[2]Изложницы без бурта'!H1140</f>
        <v>0</v>
      </c>
      <c r="AK1140" s="56">
        <f>'[2]Изложницы без бурта'!I1140</f>
        <v>0</v>
      </c>
      <c r="AL1140" s="56" t="s">
        <v>747</v>
      </c>
      <c r="AM1140" s="56">
        <f>'[2]Изложницы без бурта'!K1140</f>
        <v>0</v>
      </c>
    </row>
    <row r="1141" spans="28:39" x14ac:dyDescent="0.25">
      <c r="AB1141" s="253" t="str">
        <f t="shared" si="33"/>
        <v/>
      </c>
      <c r="AC1141" s="254">
        <f>IF(COUNTIF(AD$78:AD1141,AD1141)=1,MAX(AC$78:AC1140)+1,"")</f>
        <v>175</v>
      </c>
      <c r="AD1141" s="215">
        <f>'[2]Изложницы без бурта'!B1141</f>
        <v>652.5</v>
      </c>
      <c r="AE1141" s="215">
        <f>'[2]Изложницы без бурта'!C1141</f>
        <v>154</v>
      </c>
      <c r="AF1141" s="56">
        <f>'[2]Изложницы без бурта'!D1141</f>
        <v>700</v>
      </c>
      <c r="AG1141" s="56">
        <f>'[2]Изложницы без бурта'!E1141</f>
        <v>400</v>
      </c>
      <c r="AH1141" s="56" t="str">
        <f>'[2]Изложницы без бурта'!F1141</f>
        <v>72.11867 - 11</v>
      </c>
      <c r="AI1141" s="56">
        <f>'[2]Изложницы без бурта'!G1141</f>
        <v>0</v>
      </c>
      <c r="AJ1141" s="56">
        <f>'[2]Изложницы без бурта'!H1141</f>
        <v>0</v>
      </c>
      <c r="AK1141" s="56">
        <f>'[2]Изложницы без бурта'!I1141</f>
        <v>0</v>
      </c>
      <c r="AL1141" s="56" t="s">
        <v>748</v>
      </c>
      <c r="AM1141" s="56">
        <f>'[2]Изложницы без бурта'!K1141</f>
        <v>0</v>
      </c>
    </row>
    <row r="1142" spans="28:39" x14ac:dyDescent="0.25">
      <c r="AB1142" s="253" t="str">
        <f t="shared" si="33"/>
        <v/>
      </c>
      <c r="AC1142" s="254" t="str">
        <f>IF(COUNTIF(AD$78:AD1142,AD1142)=1,MAX(AC$78:AC1141)+1,"")</f>
        <v/>
      </c>
      <c r="AD1142" s="215">
        <f>'[2]Изложницы без бурта'!B1142</f>
        <v>652.5</v>
      </c>
      <c r="AE1142" s="215">
        <f>'[2]Изложницы без бурта'!C1142</f>
        <v>150</v>
      </c>
      <c r="AF1142" s="56">
        <f>'[2]Изложницы без бурта'!D1142</f>
        <v>700</v>
      </c>
      <c r="AG1142" s="56">
        <f>'[2]Изложницы без бурта'!E1142</f>
        <v>400</v>
      </c>
      <c r="AH1142" s="56" t="str">
        <f>'[2]Изложницы без бурта'!F1142</f>
        <v>72.11867 - 11</v>
      </c>
      <c r="AI1142" s="56">
        <f>'[2]Изложницы без бурта'!G1142</f>
        <v>0</v>
      </c>
      <c r="AJ1142" s="56">
        <f>'[2]Изложницы без бурта'!H1142</f>
        <v>0</v>
      </c>
      <c r="AK1142" s="56">
        <f>'[2]Изложницы без бурта'!I1142</f>
        <v>0</v>
      </c>
      <c r="AL1142" s="56" t="s">
        <v>748</v>
      </c>
      <c r="AM1142" s="56">
        <f>'[2]Изложницы без бурта'!K1142</f>
        <v>0</v>
      </c>
    </row>
    <row r="1143" spans="28:39" x14ac:dyDescent="0.25">
      <c r="AB1143" s="253" t="str">
        <f t="shared" si="33"/>
        <v/>
      </c>
      <c r="AC1143" s="254">
        <f>IF(COUNTIF(AD$78:AD1143,AD1143)=1,MAX(AC$78:AC1142)+1,"")</f>
        <v>176</v>
      </c>
      <c r="AD1143" s="215">
        <f>'[2]Изложницы без бурта'!B1143</f>
        <v>655</v>
      </c>
      <c r="AE1143" s="215">
        <f>'[2]Изложницы без бурта'!C1143</f>
        <v>175</v>
      </c>
      <c r="AF1143" s="56">
        <f>'[2]Изложницы без бурта'!D1143</f>
        <v>700</v>
      </c>
      <c r="AG1143" s="56">
        <f>'[2]Изложницы без бурта'!E1143</f>
        <v>400</v>
      </c>
      <c r="AH1143" s="56" t="str">
        <f>'[2]Изложницы без бурта'!F1143</f>
        <v>72.11867 - 12</v>
      </c>
      <c r="AI1143" s="56" t="str">
        <f>'[2]Изложницы без бурта'!G1143</f>
        <v>Без толкателя</v>
      </c>
      <c r="AJ1143" s="56">
        <f>'[2]Изложницы без бурта'!H1143</f>
        <v>0</v>
      </c>
      <c r="AK1143" s="56">
        <f>'[2]Изложницы без бурта'!I1143</f>
        <v>0</v>
      </c>
      <c r="AL1143" s="56" t="s">
        <v>749</v>
      </c>
      <c r="AM1143" s="56">
        <f>'[2]Изложницы без бурта'!K1143</f>
        <v>0</v>
      </c>
    </row>
    <row r="1144" spans="28:39" x14ac:dyDescent="0.25">
      <c r="AB1144" s="253" t="str">
        <f t="shared" si="33"/>
        <v/>
      </c>
      <c r="AC1144" s="254" t="str">
        <f>IF(COUNTIF(AD$78:AD1144,AD1144)=1,MAX(AC$78:AC1143)+1,"")</f>
        <v/>
      </c>
      <c r="AD1144" s="215">
        <f>'[2]Изложницы без бурта'!B1144</f>
        <v>655</v>
      </c>
      <c r="AE1144" s="215">
        <f>'[2]Изложницы без бурта'!C1144</f>
        <v>175</v>
      </c>
      <c r="AF1144" s="56">
        <f>'[2]Изложницы без бурта'!D1144</f>
        <v>700</v>
      </c>
      <c r="AG1144" s="56">
        <f>'[2]Изложницы без бурта'!E1144</f>
        <v>400</v>
      </c>
      <c r="AH1144" s="56" t="str">
        <f>'[2]Изложницы без бурта'!F1144</f>
        <v>72.11867 - 12</v>
      </c>
      <c r="AI1144" s="56">
        <f>'[2]Изложницы без бурта'!G1144</f>
        <v>0</v>
      </c>
      <c r="AJ1144" s="56">
        <f>'[2]Изложницы без бурта'!H1144</f>
        <v>0</v>
      </c>
      <c r="AK1144" s="56">
        <f>'[2]Изложницы без бурта'!I1144</f>
        <v>0</v>
      </c>
      <c r="AL1144" s="56" t="s">
        <v>749</v>
      </c>
      <c r="AM1144" s="56">
        <f>'[2]Изложницы без бурта'!K1144</f>
        <v>0</v>
      </c>
    </row>
    <row r="1145" spans="28:39" x14ac:dyDescent="0.25">
      <c r="AB1145" s="253" t="str">
        <f t="shared" ref="AB1145:AB1153" si="34">IF(MAX(AC1145:AC2222)&lt;ROW(1067:1067),"",VLOOKUP(ROW(1067:1067),AC1145:AD2222,2))</f>
        <v/>
      </c>
      <c r="AC1145" s="254" t="str">
        <f>IF(COUNTIF(AD$78:AD1145,AD1145)=1,MAX(AC$78:AC1144)+1,"")</f>
        <v/>
      </c>
      <c r="AD1145" s="215">
        <f>'[2]Изложницы без бурта'!B1145</f>
        <v>655</v>
      </c>
      <c r="AE1145" s="215">
        <f>'[2]Изложницы без бурта'!C1145</f>
        <v>153</v>
      </c>
      <c r="AF1145" s="56">
        <f>'[2]Изложницы без бурта'!D1145</f>
        <v>700</v>
      </c>
      <c r="AG1145" s="56">
        <f>'[2]Изложницы без бурта'!E1145</f>
        <v>400</v>
      </c>
      <c r="AH1145" s="56" t="str">
        <f>'[2]Изложницы без бурта'!F1145</f>
        <v>72.11867 - 12</v>
      </c>
      <c r="AI1145" s="56">
        <f>'[2]Изложницы без бурта'!G1145</f>
        <v>0</v>
      </c>
      <c r="AJ1145" s="56">
        <f>'[2]Изложницы без бурта'!H1145</f>
        <v>0</v>
      </c>
      <c r="AK1145" s="56">
        <f>'[2]Изложницы без бурта'!I1145</f>
        <v>0</v>
      </c>
      <c r="AL1145" s="56" t="s">
        <v>749</v>
      </c>
      <c r="AM1145" s="56">
        <f>'[2]Изложницы без бурта'!K1145</f>
        <v>0</v>
      </c>
    </row>
    <row r="1146" spans="28:39" x14ac:dyDescent="0.25">
      <c r="AB1146" s="253" t="str">
        <f t="shared" si="34"/>
        <v/>
      </c>
      <c r="AC1146" s="254" t="str">
        <f>IF(COUNTIF(AD$78:AD1146,AD1146)=1,MAX(AC$78:AC1145)+1,"")</f>
        <v/>
      </c>
      <c r="AD1146" s="215">
        <f>'[2]Изложницы без бурта'!B1146</f>
        <v>655</v>
      </c>
      <c r="AE1146" s="215">
        <f>'[2]Изложницы без бурта'!C1146</f>
        <v>155</v>
      </c>
      <c r="AF1146" s="56">
        <f>'[2]Изложницы без бурта'!D1146</f>
        <v>700</v>
      </c>
      <c r="AG1146" s="56">
        <f>'[2]Изложницы без бурта'!E1146</f>
        <v>400</v>
      </c>
      <c r="AH1146" s="56" t="str">
        <f>'[2]Изложницы без бурта'!F1146</f>
        <v>72.11867 - 13</v>
      </c>
      <c r="AI1146" s="56">
        <f>'[2]Изложницы без бурта'!G1146</f>
        <v>0</v>
      </c>
      <c r="AJ1146" s="56">
        <f>'[2]Изложницы без бурта'!H1146</f>
        <v>0</v>
      </c>
      <c r="AK1146" s="56">
        <f>'[2]Изложницы без бурта'!I1146</f>
        <v>0</v>
      </c>
      <c r="AL1146" s="56" t="s">
        <v>749</v>
      </c>
      <c r="AM1146" s="56">
        <f>'[2]Изложницы без бурта'!K1146</f>
        <v>0</v>
      </c>
    </row>
    <row r="1147" spans="28:39" x14ac:dyDescent="0.25">
      <c r="AB1147" s="253" t="str">
        <f t="shared" si="34"/>
        <v/>
      </c>
      <c r="AC1147" s="254" t="str">
        <f>IF(COUNTIF(AD$78:AD1147,AD1147)=1,MAX(AC$78:AC1146)+1,"")</f>
        <v/>
      </c>
      <c r="AD1147" s="215">
        <f>'[2]Изложницы без бурта'!B1147</f>
        <v>655</v>
      </c>
      <c r="AE1147" s="215">
        <f>'[2]Изложницы без бурта'!C1147</f>
        <v>155</v>
      </c>
      <c r="AF1147" s="56">
        <f>'[2]Изложницы без бурта'!D1147</f>
        <v>700</v>
      </c>
      <c r="AG1147" s="56">
        <f>'[2]Изложницы без бурта'!E1147</f>
        <v>400</v>
      </c>
      <c r="AH1147" s="56" t="str">
        <f>'[2]Изложницы без бурта'!F1147</f>
        <v>72.11867 - 13</v>
      </c>
      <c r="AI1147" s="56">
        <f>'[2]Изложницы без бурта'!G1147</f>
        <v>0</v>
      </c>
      <c r="AJ1147" s="56">
        <f>'[2]Изложницы без бурта'!H1147</f>
        <v>0</v>
      </c>
      <c r="AK1147" s="56">
        <f>'[2]Изложницы без бурта'!I1147</f>
        <v>0</v>
      </c>
      <c r="AL1147" s="56" t="s">
        <v>749</v>
      </c>
      <c r="AM1147" s="56">
        <f>'[2]Изложницы без бурта'!K1147</f>
        <v>0</v>
      </c>
    </row>
    <row r="1148" spans="28:39" x14ac:dyDescent="0.25">
      <c r="AB1148" s="253" t="str">
        <f t="shared" si="34"/>
        <v/>
      </c>
      <c r="AC1148" s="254">
        <f>IF(COUNTIF(AD$78:AD1148,AD1148)=1,MAX(AC$78:AC1147)+1,"")</f>
        <v>177</v>
      </c>
      <c r="AD1148" s="215">
        <f>'[2]Изложницы без бурта'!B1148</f>
        <v>657.5</v>
      </c>
      <c r="AE1148" s="215">
        <f>'[2]Изложницы без бурта'!C1148</f>
        <v>150</v>
      </c>
      <c r="AF1148" s="56">
        <f>'[2]Изложницы без бурта'!D1148</f>
        <v>700</v>
      </c>
      <c r="AG1148" s="56">
        <f>'[2]Изложницы без бурта'!E1148</f>
        <v>400</v>
      </c>
      <c r="AH1148" s="56" t="str">
        <f>'[2]Изложницы без бурта'!F1148</f>
        <v>72.11867 - 13</v>
      </c>
      <c r="AI1148" s="56" t="str">
        <f>'[2]Изложницы без бурта'!G1148</f>
        <v>Без толкателя</v>
      </c>
      <c r="AJ1148" s="56">
        <f>'[2]Изложницы без бурта'!H1148</f>
        <v>27.487499999999955</v>
      </c>
      <c r="AK1148" s="56">
        <f>'[2]Изложницы без бурта'!I1148</f>
        <v>0</v>
      </c>
      <c r="AL1148" s="56" t="s">
        <v>750</v>
      </c>
      <c r="AM1148" s="56">
        <f>'[2]Изложницы без бурта'!K1148</f>
        <v>0</v>
      </c>
    </row>
    <row r="1149" spans="28:39" x14ac:dyDescent="0.25">
      <c r="AB1149" s="253" t="str">
        <f t="shared" si="34"/>
        <v/>
      </c>
      <c r="AC1149" s="254">
        <f>IF(COUNTIF(AD$78:AD1149,AD1149)=1,MAX(AC$78:AC1148)+1,"")</f>
        <v>178</v>
      </c>
      <c r="AD1149" s="215">
        <f>'[2]Изложницы без бурта'!B1149</f>
        <v>660</v>
      </c>
      <c r="AE1149" s="215">
        <f>'[2]Изложницы без бурта'!C1149</f>
        <v>150</v>
      </c>
      <c r="AF1149" s="56">
        <f>'[2]Изложницы без бурта'!D1149</f>
        <v>700</v>
      </c>
      <c r="AG1149" s="56">
        <f>'[2]Изложницы без бурта'!E1149</f>
        <v>400</v>
      </c>
      <c r="AH1149" s="56" t="str">
        <f>'[2]Изложницы без бурта'!F1149</f>
        <v>72.11867 - 13</v>
      </c>
      <c r="AI1149" s="56" t="str">
        <f>'[2]Изложницы без бурта'!G1149</f>
        <v>Без толкателя</v>
      </c>
      <c r="AJ1149" s="56">
        <f>'[2]Изложницы без бурта'!H1149</f>
        <v>0</v>
      </c>
      <c r="AK1149" s="56">
        <f>'[2]Изложницы без бурта'!I1149</f>
        <v>0</v>
      </c>
      <c r="AL1149" s="56" t="s">
        <v>751</v>
      </c>
      <c r="AM1149" s="56">
        <f>'[2]Изложницы без бурта'!K1149</f>
        <v>0</v>
      </c>
    </row>
    <row r="1150" spans="28:39" x14ac:dyDescent="0.25">
      <c r="AB1150" s="253" t="str">
        <f t="shared" si="34"/>
        <v/>
      </c>
      <c r="AC1150" s="254" t="str">
        <f>IF(COUNTIF(AD$78:AD1150,AD1150)=1,MAX(AC$78:AC1149)+1,"")</f>
        <v/>
      </c>
      <c r="AD1150" s="215">
        <f>'[2]Изложницы без бурта'!B1150</f>
        <v>660</v>
      </c>
      <c r="AE1150" s="215">
        <f>'[2]Изложницы без бурта'!C1150</f>
        <v>150</v>
      </c>
      <c r="AF1150" s="56">
        <f>'[2]Изложницы без бурта'!D1150</f>
        <v>700</v>
      </c>
      <c r="AG1150" s="56">
        <f>'[2]Изложницы без бурта'!E1150</f>
        <v>400</v>
      </c>
      <c r="AH1150" s="56" t="str">
        <f>'[2]Изложницы без бурта'!F1150</f>
        <v>72.11867 - 13</v>
      </c>
      <c r="AI1150" s="56">
        <f>'[2]Изложницы без бурта'!G1150</f>
        <v>0</v>
      </c>
      <c r="AJ1150" s="56">
        <f>'[2]Изложницы без бурта'!H1150</f>
        <v>0</v>
      </c>
      <c r="AK1150" s="56">
        <f>'[2]Изложницы без бурта'!I1150</f>
        <v>0</v>
      </c>
      <c r="AL1150" s="56" t="s">
        <v>751</v>
      </c>
      <c r="AM1150" s="56">
        <f>'[2]Изложницы без бурта'!K1150</f>
        <v>0</v>
      </c>
    </row>
    <row r="1151" spans="28:39" x14ac:dyDescent="0.25">
      <c r="AB1151" s="253" t="str">
        <f t="shared" si="34"/>
        <v/>
      </c>
      <c r="AC1151" s="254">
        <f>IF(COUNTIF(AD$78:AD1151,AD1151)=1,MAX(AC$78:AC1150)+1,"")</f>
        <v>179</v>
      </c>
      <c r="AD1151" s="215">
        <f>'[2]Изложницы без бурта'!B1151</f>
        <v>665</v>
      </c>
      <c r="AE1151" s="215">
        <f>'[2]Изложницы без бурта'!C1151</f>
        <v>175</v>
      </c>
      <c r="AF1151" s="56">
        <f>'[2]Изложницы без бурта'!D1151</f>
        <v>0</v>
      </c>
      <c r="AG1151" s="56">
        <f>'[2]Изложницы без бурта'!E1151</f>
        <v>0</v>
      </c>
      <c r="AH1151" s="56">
        <f>'[2]Изложницы без бурта'!F1151</f>
        <v>0</v>
      </c>
      <c r="AI1151" s="56" t="str">
        <f>'[2]Изложницы без бурта'!G1151</f>
        <v>Вышел из строя 01.2024 (Металлолом)</v>
      </c>
      <c r="AJ1151" s="56">
        <f>'[2]Изложницы без бурта'!H1151</f>
        <v>0</v>
      </c>
      <c r="AK1151" s="56">
        <f>'[2]Изложницы без бурта'!I1151</f>
        <v>0</v>
      </c>
      <c r="AL1151" s="56" t="s">
        <v>1027</v>
      </c>
      <c r="AM1151" s="56">
        <f>'[2]Изложницы без бурта'!K1151</f>
        <v>0</v>
      </c>
    </row>
    <row r="1152" spans="28:39" x14ac:dyDescent="0.25">
      <c r="AB1152" s="253" t="str">
        <f t="shared" si="34"/>
        <v/>
      </c>
      <c r="AC1152" s="254">
        <f>IF(COUNTIF(AD$78:AD1152,AD1152)=1,MAX(AC$78:AC1151)+1,"")</f>
        <v>180</v>
      </c>
      <c r="AD1152" s="215">
        <f>'[2]Изложницы без бурта'!B1152</f>
        <v>667.5</v>
      </c>
      <c r="AE1152" s="215">
        <f>'[2]Изложницы без бурта'!C1152</f>
        <v>173</v>
      </c>
      <c r="AF1152" s="56">
        <f>'[2]Изложницы без бурта'!D1152</f>
        <v>700</v>
      </c>
      <c r="AG1152" s="56">
        <f>'[2]Изложницы без бурта'!E1152</f>
        <v>400</v>
      </c>
      <c r="AH1152" s="56" t="str">
        <f>'[2]Изложницы без бурта'!F1152</f>
        <v>72.11867 - 14</v>
      </c>
      <c r="AI1152" s="56" t="str">
        <f>'[2]Изложницы без бурта'!G1152</f>
        <v>Без толкателя</v>
      </c>
      <c r="AJ1152" s="56">
        <f>'[2]Изложницы без бурта'!H1152</f>
        <v>0</v>
      </c>
      <c r="AK1152" s="56">
        <f>'[2]Изложницы без бурта'!I1152</f>
        <v>0</v>
      </c>
      <c r="AL1152" s="56" t="s">
        <v>1028</v>
      </c>
      <c r="AM1152" s="56">
        <f>'[2]Изложницы без бурта'!K1152</f>
        <v>0</v>
      </c>
    </row>
    <row r="1153" spans="28:39" x14ac:dyDescent="0.25">
      <c r="AB1153" s="253" t="str">
        <f t="shared" si="34"/>
        <v/>
      </c>
      <c r="AC1153" s="254">
        <f>IF(COUNTIF(AD$78:AD1153,AD1153)=1,MAX(AC$78:AC1152)+1,"")</f>
        <v>181</v>
      </c>
      <c r="AD1153" s="215">
        <f>'[2]Изложницы без бурта'!B1153</f>
        <v>700</v>
      </c>
      <c r="AE1153" s="215">
        <f>'[2]Изложницы без бурта'!C1153</f>
        <v>260</v>
      </c>
      <c r="AF1153" s="56">
        <f>'[2]Изложницы без бурта'!D1153</f>
        <v>743</v>
      </c>
      <c r="AG1153" s="56">
        <f>'[2]Изложницы без бурта'!E1153</f>
        <v>400</v>
      </c>
      <c r="AH1153" s="56" t="str">
        <f>'[2]Изложницы без бурта'!F1153</f>
        <v>5694.392.0005СБ</v>
      </c>
      <c r="AI1153" s="56" t="str">
        <f>'[2]Изложницы без бурта'!G1153</f>
        <v>Толкатель утоплен (ф560*40)</v>
      </c>
      <c r="AJ1153" s="56" t="str">
        <f>'[2]Изложницы без бурта'!H1153</f>
        <v>Крышка черт.5694.392.0007, ф крышки 250 мм, ф посадки 745 мм</v>
      </c>
      <c r="AK1153" s="56">
        <f>'[2]Изложницы без бурта'!I1153</f>
        <v>0</v>
      </c>
      <c r="AL1153" s="56" t="s">
        <v>1029</v>
      </c>
      <c r="AM1153" s="56">
        <f>'[2]Изложницы без бурта'!K1153</f>
        <v>0</v>
      </c>
    </row>
    <row r="1154" spans="28:39" x14ac:dyDescent="0.25">
      <c r="AB1154" s="253"/>
      <c r="AC1154" s="254"/>
    </row>
    <row r="1155" spans="28:39" x14ac:dyDescent="0.25">
      <c r="AB1155" s="253"/>
      <c r="AC1155" s="254"/>
    </row>
    <row r="1156" spans="28:39" x14ac:dyDescent="0.25">
      <c r="AB1156" s="253"/>
      <c r="AC1156" s="254"/>
    </row>
    <row r="1157" spans="28:39" x14ac:dyDescent="0.25">
      <c r="AB1157" s="253"/>
      <c r="AC1157" s="215"/>
    </row>
  </sheetData>
  <sheetProtection selectLockedCells="1" selectUnlockedCells="1"/>
  <autoFilter ref="AD1:AE1157" xr:uid="{CDC4F641-65FE-4462-9119-AD3EFA3FEDA8}"/>
  <mergeCells count="11">
    <mergeCell ref="P232:Q232"/>
    <mergeCell ref="AZ2:BH2"/>
    <mergeCell ref="K158:P158"/>
    <mergeCell ref="C71:E71"/>
    <mergeCell ref="AO25:AP25"/>
    <mergeCell ref="AR2:AX2"/>
    <mergeCell ref="A1:B1"/>
    <mergeCell ref="C44:E44"/>
    <mergeCell ref="C57:E57"/>
    <mergeCell ref="P142:S142"/>
    <mergeCell ref="H36:H37"/>
  </mergeCells>
  <pageMargins left="0.7" right="0.7" top="0.75" bottom="0.75" header="0.511811023622047" footer="0.511811023622047"/>
  <pageSetup paperSize="9" scale="18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</vt:i4>
      </vt:variant>
    </vt:vector>
  </HeadingPairs>
  <TitlesOfParts>
    <vt:vector size="21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2024-05-16T03:32:36Z</cp:lastPrinted>
  <dcterms:created xsi:type="dcterms:W3CDTF">2006-09-16T00:00:00Z</dcterms:created>
  <dcterms:modified xsi:type="dcterms:W3CDTF">2024-05-16T11:48:26Z</dcterms:modified>
  <dc:language>ru-RU</dc:language>
</cp:coreProperties>
</file>