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B49B2A4F-714B-46F1-8862-41BA9152DAEB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Бандаж" sheetId="14" r:id="rId9"/>
    <sheet name="Кольцо" sheetId="9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M260" i="3" l="1"/>
  <c r="M261" i="3"/>
  <c r="M262" i="3"/>
  <c r="M264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E24" i="1"/>
  <c r="O233" i="3"/>
  <c r="O240" i="3"/>
  <c r="O234" i="3" l="1"/>
  <c r="O235" i="3" s="1"/>
  <c r="AM54" i="1"/>
  <c r="O236" i="3" l="1"/>
  <c r="AM38" i="1"/>
  <c r="AI38" i="1"/>
  <c r="AN6" i="1"/>
  <c r="K52" i="14"/>
  <c r="O237" i="3" l="1"/>
  <c r="R3" i="14"/>
  <c r="R5" i="14"/>
  <c r="R4" i="14"/>
  <c r="E33" i="1"/>
  <c r="H24" i="14"/>
  <c r="F24" i="14"/>
  <c r="J21" i="14"/>
  <c r="O238" i="3" l="1"/>
  <c r="O239" i="3" s="1"/>
  <c r="I11" i="14"/>
  <c r="V43" i="4"/>
  <c r="T43" i="4"/>
  <c r="T42" i="4"/>
  <c r="T40" i="4"/>
  <c r="V38" i="4"/>
  <c r="U43" i="4"/>
  <c r="V40" i="4" s="1"/>
  <c r="T38" i="4"/>
  <c r="R37" i="4"/>
  <c r="V36" i="4"/>
  <c r="X38" i="4"/>
  <c r="T36" i="4"/>
  <c r="R34" i="4"/>
  <c r="O241" i="3" l="1"/>
  <c r="O242" i="3" s="1"/>
  <c r="O243" i="3" s="1"/>
  <c r="T44" i="4"/>
  <c r="R39" i="4"/>
  <c r="V44" i="4"/>
  <c r="W44" i="4" s="1"/>
  <c r="V28" i="4"/>
  <c r="T28" i="4"/>
  <c r="R5" i="4"/>
  <c r="U28" i="4"/>
  <c r="V25" i="4" s="1"/>
  <c r="T27" i="4"/>
  <c r="T25" i="4"/>
  <c r="V23" i="4"/>
  <c r="T23" i="4"/>
  <c r="R22" i="4"/>
  <c r="V21" i="4"/>
  <c r="T21" i="4"/>
  <c r="R19" i="4"/>
  <c r="N237" i="3" l="1"/>
  <c r="N235" i="3"/>
  <c r="N240" i="3"/>
  <c r="N233" i="3"/>
  <c r="N238" i="3"/>
  <c r="N239" i="3"/>
  <c r="N243" i="3"/>
  <c r="N236" i="3"/>
  <c r="N234" i="3"/>
  <c r="N242" i="3"/>
  <c r="N241" i="3"/>
  <c r="Y44" i="4"/>
  <c r="V29" i="4"/>
  <c r="W29" i="4" s="1"/>
  <c r="T29" i="4"/>
  <c r="R24" i="4"/>
  <c r="X29" i="4" l="1"/>
  <c r="N7" i="12" l="1"/>
  <c r="CK47" i="8" l="1"/>
  <c r="CD42" i="8" l="1"/>
  <c r="CE35" i="8"/>
  <c r="CH12" i="8"/>
  <c r="CL9" i="8" s="1"/>
  <c r="CL8" i="8"/>
  <c r="M18" i="11" l="1"/>
  <c r="E32" i="11" l="1"/>
  <c r="R7" i="5" l="1"/>
  <c r="R8" i="5" s="1"/>
  <c r="R6" i="5"/>
  <c r="S50" i="12" l="1"/>
  <c r="F14" i="5" l="1"/>
  <c r="Q29" i="12" l="1"/>
  <c r="U11" i="5" l="1"/>
  <c r="B69" i="2" l="1"/>
  <c r="D23" i="12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H63" i="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C19" i="5" l="1"/>
  <c r="N8" i="5"/>
  <c r="N9" i="5" s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B302" i="3" l="1"/>
  <c r="E300" i="3" s="1"/>
  <c r="A300" i="3"/>
  <c r="B300" i="3" s="1"/>
  <c r="E298" i="3" s="1"/>
  <c r="E285" i="3"/>
  <c r="A282" i="3"/>
  <c r="B282" i="3" s="1"/>
  <c r="E270" i="3"/>
  <c r="A267" i="3"/>
  <c r="B267" i="3" s="1"/>
  <c r="D285" i="3"/>
  <c r="D270" i="3"/>
  <c r="J27" i="4"/>
  <c r="I27" i="4"/>
  <c r="H27" i="4"/>
  <c r="U11" i="4"/>
  <c r="D302" i="3" l="1"/>
  <c r="M10" i="4" l="1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AM28" i="1" l="1"/>
  <c r="AL28" i="1"/>
  <c r="AN5" i="1"/>
  <c r="R11" i="4" l="1"/>
  <c r="U9" i="4" s="1"/>
  <c r="I38" i="4"/>
  <c r="T9" i="4"/>
  <c r="R8" i="4"/>
  <c r="S14" i="4" s="1"/>
  <c r="T7" i="4"/>
  <c r="T11" i="4" l="1"/>
  <c r="T13" i="4" s="1"/>
  <c r="T14" i="4" s="1"/>
  <c r="R14" i="4"/>
  <c r="V11" i="4"/>
  <c r="W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AQ29" i="1" l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B204" i="3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A24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AB48" i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G52" i="13"/>
  <c r="G53" i="13" s="1"/>
  <c r="K50" i="13"/>
  <c r="K51" i="13" s="1"/>
  <c r="I38" i="13" l="1"/>
  <c r="F39" i="13" s="1"/>
  <c r="F40" i="13" s="1"/>
  <c r="E73" i="13"/>
  <c r="B50" i="4"/>
  <c r="D42" i="13" l="1"/>
  <c r="C21" i="4"/>
  <c r="D34" i="4"/>
  <c r="E22" i="4"/>
  <c r="D33" i="4"/>
  <c r="V5" i="5" l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I36" i="11" l="1"/>
  <c r="I24" i="11"/>
  <c r="F34" i="1" l="1"/>
  <c r="N6" i="1" l="1"/>
  <c r="N26" i="1" s="1"/>
  <c r="M270" i="3" s="1"/>
  <c r="N19" i="1" l="1"/>
  <c r="M263" i="3" s="1"/>
  <c r="E203" i="3"/>
  <c r="G9" i="1" l="1"/>
  <c r="Y50" i="1"/>
  <c r="V9" i="1"/>
  <c r="S17" i="1"/>
  <c r="AQ19" i="1" l="1"/>
  <c r="AI20" i="1"/>
  <c r="AQ6" i="1"/>
  <c r="AQ11" i="1" s="1"/>
  <c r="AI23" i="1"/>
  <c r="AL29" i="1"/>
  <c r="U33" i="1"/>
  <c r="AE49" i="1"/>
  <c r="AM29" i="1"/>
  <c r="AJ17" i="1"/>
  <c r="AM55" i="1" s="1"/>
  <c r="AJ41" i="8"/>
  <c r="AQ10" i="1" l="1"/>
  <c r="AQ25" i="1"/>
  <c r="AQ27" i="1" s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Q26" i="1" l="1"/>
  <c r="U34" i="1"/>
  <c r="AJ13" i="1"/>
  <c r="AI39" i="1" s="1"/>
  <c r="AJ13" i="8"/>
  <c r="AN8" i="8" s="1"/>
  <c r="AJ15" i="1" l="1"/>
  <c r="AJ16" i="1" s="1"/>
  <c r="AN10" i="1" s="1"/>
  <c r="AJ14" i="1"/>
  <c r="AN8" i="1" s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Y51" i="1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1" i="4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K36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51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3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14" i="2"/>
  <c r="M26" i="2"/>
  <c r="F9" i="2" s="1"/>
  <c r="M8" i="2"/>
  <c r="M140" i="3" s="1"/>
  <c r="B129" i="3"/>
  <c r="D116" i="3"/>
  <c r="F116" i="3"/>
  <c r="B111" i="3"/>
  <c r="M4" i="2"/>
  <c r="M5" i="2"/>
  <c r="M11" i="2" s="1"/>
  <c r="M7" i="2"/>
  <c r="M13" i="2" s="1"/>
  <c r="M35" i="2"/>
  <c r="M6" i="2"/>
  <c r="I22" i="2" s="1"/>
  <c r="M12" i="2"/>
  <c r="E40" i="3" l="1"/>
  <c r="C38" i="3" s="1"/>
  <c r="F46" i="2" s="1"/>
  <c r="M19" i="2"/>
  <c r="F10" i="2" s="1"/>
  <c r="M138" i="3"/>
  <c r="M139" i="3"/>
  <c r="M136" i="3"/>
  <c r="M137" i="3"/>
  <c r="M134" i="3"/>
  <c r="M135" i="3"/>
  <c r="AC192" i="3"/>
  <c r="E29" i="2"/>
  <c r="I33" i="2"/>
  <c r="I5" i="2"/>
  <c r="X5" i="2" s="1"/>
  <c r="B40" i="3"/>
  <c r="E39" i="3" s="1"/>
  <c r="E38" i="3" s="1"/>
  <c r="F19" i="2" s="1"/>
  <c r="R135" i="3" l="1"/>
  <c r="AC199" i="3"/>
  <c r="F11" i="2"/>
  <c r="J8" i="2" s="1"/>
  <c r="M8" i="4" l="1"/>
  <c r="B301" i="3" s="1"/>
  <c r="L137" i="3"/>
  <c r="L135" i="3" s="1"/>
  <c r="M15" i="2" s="1"/>
  <c r="M20" i="2" s="1"/>
  <c r="F12" i="2" s="1"/>
  <c r="F14" i="2" s="1"/>
  <c r="AC203" i="3"/>
  <c r="B268" i="3" l="1"/>
  <c r="F273" i="3" s="1"/>
  <c r="B283" i="3"/>
  <c r="M12" i="4"/>
  <c r="F10" i="4" s="1"/>
  <c r="E39" i="4" s="1"/>
  <c r="M13" i="4"/>
  <c r="F11" i="4" s="1"/>
  <c r="M22" i="4"/>
  <c r="F9" i="4" s="1"/>
  <c r="C29" i="2"/>
  <c r="I58" i="2" s="1"/>
  <c r="AC215" i="3"/>
  <c r="D273" i="3" l="1"/>
  <c r="F288" i="3"/>
  <c r="D288" i="3"/>
  <c r="F15" i="2"/>
  <c r="J9" i="2" s="1"/>
  <c r="F13" i="2"/>
  <c r="AC219" i="3"/>
  <c r="AC227" i="3" l="1"/>
  <c r="AC228" i="3" l="1"/>
  <c r="AC250" i="3" l="1"/>
  <c r="AC258" i="3" l="1"/>
  <c r="AC274" i="3" l="1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A231" i="3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M265" i="3" l="1"/>
  <c r="N3" i="1"/>
  <c r="J28" i="1" s="1"/>
  <c r="N246" i="3" s="1"/>
  <c r="N247" i="3" s="1"/>
  <c r="F206" i="3"/>
  <c r="G205" i="3" s="1"/>
  <c r="F35" i="1"/>
  <c r="M233" i="3" l="1"/>
  <c r="M241" i="3"/>
  <c r="M236" i="3"/>
  <c r="M239" i="3"/>
  <c r="M234" i="3"/>
  <c r="M242" i="3"/>
  <c r="M237" i="3"/>
  <c r="M240" i="3"/>
  <c r="M235" i="3"/>
  <c r="M238" i="3"/>
  <c r="F205" i="3"/>
  <c r="N23" i="1" s="1"/>
  <c r="E98" i="3"/>
  <c r="B130" i="3"/>
  <c r="E128" i="3" s="1"/>
  <c r="E113" i="3"/>
  <c r="N24" i="1"/>
  <c r="M267" i="3" l="1"/>
  <c r="M266" i="3"/>
  <c r="I28" i="1"/>
  <c r="N248" i="3"/>
  <c r="N4" i="1"/>
  <c r="K5" i="1" s="1"/>
  <c r="B238" i="3"/>
  <c r="P250" i="3" l="1"/>
  <c r="O250" i="3"/>
  <c r="N250" i="3"/>
  <c r="P248" i="3"/>
  <c r="O248" i="3"/>
  <c r="C240" i="3"/>
  <c r="G240" i="3"/>
  <c r="F240" i="3"/>
  <c r="D240" i="3"/>
  <c r="E240" i="3"/>
  <c r="H240" i="3"/>
  <c r="H33" i="3"/>
  <c r="H34" i="3" s="1"/>
  <c r="F40" i="1" s="1"/>
  <c r="N251" i="3" l="1"/>
  <c r="N254" i="3" s="1"/>
  <c r="N253" i="3"/>
  <c r="N252" i="3"/>
  <c r="N255" i="3" s="1"/>
  <c r="F238" i="3"/>
  <c r="D238" i="3" s="1"/>
  <c r="N25" i="1" s="1"/>
  <c r="M269" i="3" l="1"/>
  <c r="M268" i="3"/>
  <c r="N5" i="1"/>
  <c r="N256" i="3"/>
  <c r="F22" i="1" l="1"/>
  <c r="B32" i="3"/>
  <c r="D32" i="3" s="1"/>
  <c r="F32" i="3" s="1"/>
  <c r="G22" i="1" l="1"/>
  <c r="N7" i="1"/>
  <c r="E20" i="4"/>
  <c r="F20" i="1"/>
  <c r="B33" i="3"/>
  <c r="C33" i="3" s="1"/>
  <c r="B34" i="3" s="1"/>
  <c r="N11" i="1" s="1"/>
  <c r="N8" i="1"/>
  <c r="K6" i="1" s="1"/>
  <c r="N10" i="1" l="1"/>
  <c r="I31" i="3"/>
  <c r="A128" i="3"/>
  <c r="B128" i="3" s="1"/>
  <c r="E126" i="3" s="1"/>
  <c r="D22" i="1"/>
  <c r="N249" i="3" s="1"/>
  <c r="D35" i="3"/>
  <c r="I36" i="3" s="1"/>
  <c r="B36" i="3" s="1"/>
  <c r="G37" i="3" s="1"/>
  <c r="A110" i="3"/>
  <c r="B110" i="3" s="1"/>
  <c r="A95" i="3"/>
  <c r="B95" i="3" s="1"/>
  <c r="G10" i="1"/>
  <c r="O251" i="3" l="1"/>
  <c r="O254" i="3" s="1"/>
  <c r="J38" i="1"/>
  <c r="J57" i="1" s="1"/>
  <c r="I37" i="3"/>
  <c r="B35" i="3" s="1"/>
  <c r="N12" i="1" s="1"/>
  <c r="G11" i="1" s="1"/>
  <c r="H5" i="3"/>
  <c r="H10" i="3"/>
  <c r="H11" i="3"/>
  <c r="P251" i="3" l="1"/>
  <c r="P252" i="3" s="1"/>
  <c r="D46" i="1"/>
  <c r="D30" i="3"/>
  <c r="C257" i="3"/>
  <c r="O253" i="3" l="1"/>
  <c r="O252" i="3"/>
  <c r="O255" i="3" s="1"/>
  <c r="G44" i="1"/>
  <c r="H30" i="3"/>
  <c r="C115" i="3" s="1"/>
  <c r="D115" i="3" s="1"/>
  <c r="E30" i="3"/>
  <c r="F30" i="3"/>
  <c r="A125" i="3" s="1"/>
  <c r="B125" i="3" s="1"/>
  <c r="G30" i="3"/>
  <c r="E257" i="3"/>
  <c r="F257" i="3"/>
  <c r="D257" i="3"/>
  <c r="O256" i="3" l="1"/>
  <c r="N257" i="3" s="1"/>
  <c r="P253" i="3"/>
  <c r="F46" i="1"/>
  <c r="B30" i="3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C124" i="3"/>
  <c r="C122" i="3"/>
  <c r="B257" i="3"/>
  <c r="J56" i="1" l="1"/>
  <c r="F128" i="3"/>
  <c r="C96" i="3"/>
  <c r="D96" i="3" s="1"/>
  <c r="H111" i="3"/>
  <c r="A107" i="3"/>
  <c r="B107" i="3" s="1"/>
  <c r="B112" i="3" s="1"/>
  <c r="C94" i="3"/>
  <c r="E94" i="3"/>
  <c r="C100" i="3"/>
  <c r="D100" i="3" s="1"/>
  <c r="D109" i="3"/>
  <c r="D117" i="3" s="1"/>
  <c r="E96" i="3"/>
  <c r="E101" i="3" s="1"/>
  <c r="F98" i="3" s="1"/>
  <c r="E92" i="3"/>
  <c r="C92" i="3"/>
  <c r="A92" i="3"/>
  <c r="B92" i="3" s="1"/>
  <c r="B97" i="3" s="1"/>
  <c r="F109" i="3"/>
  <c r="E116" i="3"/>
  <c r="F113" i="3" s="1"/>
  <c r="C131" i="3"/>
  <c r="D128" i="3" s="1"/>
  <c r="D130" i="3" s="1"/>
  <c r="D124" i="3"/>
  <c r="C298" i="3"/>
  <c r="D298" i="3" s="1"/>
  <c r="E44" i="4"/>
  <c r="C296" i="3"/>
  <c r="C294" i="3"/>
  <c r="A294" i="3"/>
  <c r="B294" i="3" s="1"/>
  <c r="A297" i="3"/>
  <c r="B297" i="3" s="1"/>
  <c r="E296" i="3"/>
  <c r="E294" i="3"/>
  <c r="E279" i="3"/>
  <c r="C287" i="3"/>
  <c r="D287" i="3" s="1"/>
  <c r="H281" i="3"/>
  <c r="H279" i="3"/>
  <c r="C283" i="3"/>
  <c r="D283" i="3" s="1"/>
  <c r="C281" i="3"/>
  <c r="E283" i="3"/>
  <c r="E281" i="3"/>
  <c r="C279" i="3"/>
  <c r="A279" i="3"/>
  <c r="B279" i="3" s="1"/>
  <c r="B284" i="3" s="1"/>
  <c r="E264" i="3"/>
  <c r="A264" i="3"/>
  <c r="B264" i="3" s="1"/>
  <c r="B269" i="3" s="1"/>
  <c r="C272" i="3"/>
  <c r="D272" i="3" s="1"/>
  <c r="C266" i="3"/>
  <c r="E268" i="3"/>
  <c r="C268" i="3"/>
  <c r="D268" i="3" s="1"/>
  <c r="C264" i="3"/>
  <c r="E266" i="3"/>
  <c r="F94" i="3" l="1"/>
  <c r="D94" i="3"/>
  <c r="D102" i="3" s="1"/>
  <c r="F96" i="3"/>
  <c r="F117" i="3"/>
  <c r="G117" i="3" s="1"/>
  <c r="I117" i="3" s="1"/>
  <c r="H31" i="3" s="1"/>
  <c r="D131" i="3"/>
  <c r="G131" i="3" s="1"/>
  <c r="F31" i="3" s="1"/>
  <c r="H283" i="3"/>
  <c r="D296" i="3"/>
  <c r="D303" i="3" s="1"/>
  <c r="C303" i="3"/>
  <c r="D300" i="3" s="1"/>
  <c r="B303" i="3"/>
  <c r="F300" i="3"/>
  <c r="F281" i="3"/>
  <c r="E288" i="3"/>
  <c r="F285" i="3" s="1"/>
  <c r="F283" i="3"/>
  <c r="D266" i="3"/>
  <c r="D274" i="3" s="1"/>
  <c r="D281" i="3"/>
  <c r="D289" i="3" s="1"/>
  <c r="F268" i="3"/>
  <c r="E273" i="3"/>
  <c r="F270" i="3" s="1"/>
  <c r="F266" i="3"/>
  <c r="K147" i="3"/>
  <c r="L147" i="3"/>
  <c r="M147" i="3"/>
  <c r="N147" i="3"/>
  <c r="O147" i="3"/>
  <c r="P147" i="3"/>
  <c r="Q147" i="3"/>
  <c r="R147" i="3"/>
  <c r="S147" i="3"/>
  <c r="F102" i="3" l="1"/>
  <c r="G102" i="3" s="1"/>
  <c r="H102" i="3" s="1"/>
  <c r="G31" i="3" s="1"/>
  <c r="B31" i="3" s="1"/>
  <c r="N13" i="1" s="1"/>
  <c r="G12" i="1" s="1"/>
  <c r="G13" i="1" s="1"/>
  <c r="G303" i="3"/>
  <c r="D258" i="3" s="1"/>
  <c r="F289" i="3"/>
  <c r="G289" i="3" s="1"/>
  <c r="I289" i="3" s="1"/>
  <c r="F258" i="3" s="1"/>
  <c r="F274" i="3"/>
  <c r="G274" i="3" s="1"/>
  <c r="H274" i="3" s="1"/>
  <c r="E258" i="3" s="1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B258" i="3" l="1"/>
  <c r="M14" i="4" s="1"/>
  <c r="F12" i="4" s="1"/>
  <c r="F13" i="4" s="1"/>
  <c r="E45" i="4" s="1"/>
  <c r="G15" i="1"/>
  <c r="G16" i="1" s="1"/>
  <c r="K10" i="1" s="1"/>
  <c r="O142" i="3"/>
  <c r="S143" i="3" s="1"/>
  <c r="Y143" i="3" s="1"/>
  <c r="P10" i="6" s="1"/>
  <c r="F39" i="1"/>
  <c r="G14" i="1"/>
  <c r="F15" i="4" l="1"/>
  <c r="F16" i="4" s="1"/>
  <c r="J10" i="4" s="1"/>
  <c r="F14" i="4"/>
  <c r="I55" i="4" s="1"/>
  <c r="K8" i="1"/>
  <c r="P12" i="6"/>
  <c r="F10" i="6" s="1"/>
  <c r="J8" i="4" l="1"/>
  <c r="I56" i="4"/>
  <c r="E32" i="6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F45" i="1" l="1"/>
  <c r="E45" i="1" l="1"/>
  <c r="D45" i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N21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<sst xmlns="http://schemas.openxmlformats.org/spreadsheetml/2006/main" count="4367" uniqueCount="1310">
  <si>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</si>
  <si>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</si>
  <si>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</si>
  <si>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</si>
  <si>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</si>
  <si>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</si>
  <si>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</si>
  <si>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</si>
  <si>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</si>
  <si>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</si>
  <si>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</si>
  <si>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</si>
  <si>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</si>
  <si>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</si>
  <si>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</si>
  <si>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</si>
  <si>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</si>
  <si>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</si>
  <si>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</si>
  <si>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</si>
  <si>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</si>
  <si>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</si>
  <si>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</si>
  <si>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</si>
  <si>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</si>
  <si>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</si>
  <si>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</si>
  <si>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</si>
  <si>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</si>
  <si>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</si>
  <si>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</si>
  <si>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</si>
  <si>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</si>
  <si>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</si>
  <si>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</si>
  <si>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</si>
  <si>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</si>
  <si>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</si>
  <si>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</si>
  <si>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</si>
  <si>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</si>
  <si>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Радиус скугления прибыли 75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</si>
  <si>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</si>
  <si>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</si>
  <si>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</si>
  <si>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</si>
  <si>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</si>
  <si>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</si>
  <si>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</si>
  <si>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</si>
  <si>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</si>
  <si>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</si>
  <si>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</si>
  <si>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</si>
  <si>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</si>
  <si>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</si>
  <si>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</si>
  <si>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</si>
  <si>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</si>
  <si>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</si>
  <si>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</si>
  <si>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</si>
  <si>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</si>
  <si>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</si>
  <si>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</si>
  <si>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</si>
  <si>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</si>
  <si>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</si>
  <si>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</si>
  <si>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</si>
  <si>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</si>
  <si>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</si>
  <si>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</si>
  <si>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</si>
  <si>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</si>
  <si>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</si>
  <si>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</si>
  <si>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</si>
  <si>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</si>
  <si>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</si>
  <si>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</si>
  <si>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</si>
  <si>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</si>
  <si>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</si>
  <si>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</si>
  <si>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</si>
  <si>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</si>
  <si>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</si>
  <si>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</si>
  <si>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</si>
  <si>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</si>
  <si>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</si>
  <si>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</si>
  <si>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</si>
  <si>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</si>
  <si>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</si>
  <si>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</si>
  <si>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</si>
  <si>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</si>
  <si>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</si>
  <si>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</si>
  <si>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</si>
  <si>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</si>
  <si>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</si>
  <si>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</si>
  <si>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</si>
  <si>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</si>
  <si>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</si>
  <si>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</si>
  <si>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</si>
  <si>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</si>
  <si>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</si>
  <si>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</si>
  <si>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</si>
  <si>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</si>
  <si>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</si>
  <si>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</si>
  <si>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</si>
  <si>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</si>
  <si>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</si>
  <si>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</si>
  <si>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</si>
  <si>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</si>
  <si>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</si>
  <si>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</si>
  <si>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</si>
  <si>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</si>
  <si>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</si>
  <si>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</si>
  <si>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</si>
  <si>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</si>
  <si>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</si>
  <si>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</si>
  <si>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</si>
  <si>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</si>
  <si>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</si>
  <si>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</si>
  <si>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</si>
  <si>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</si>
  <si>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</si>
  <si>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</si>
  <si>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</si>
  <si>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</si>
  <si>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</si>
  <si>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</si>
  <si>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</si>
  <si>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</si>
  <si>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</si>
  <si>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</si>
  <si>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</si>
  <si>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</si>
  <si>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</si>
  <si>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</si>
  <si>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</si>
  <si>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</si>
  <si>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</si>
  <si>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</si>
  <si>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</si>
  <si>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</si>
  <si>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</si>
  <si>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</si>
  <si>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</si>
  <si>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</si>
  <si>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</si>
  <si>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</si>
  <si>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</si>
  <si>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</si>
  <si>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</si>
  <si>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</si>
  <si>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</si>
  <si>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</si>
  <si>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</si>
  <si>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</si>
  <si>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</si>
  <si>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</si>
  <si>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</si>
  <si>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</si>
  <si>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</si>
  <si>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</si>
  <si>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</si>
  <si>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</si>
  <si>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</si>
  <si>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</si>
  <si>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</si>
  <si>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</si>
  <si>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</si>
  <si>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</si>
  <si>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</si>
  <si>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</si>
  <si>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</si>
  <si>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</si>
  <si>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</si>
  <si>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</si>
  <si>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</si>
  <si>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</si>
  <si>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</si>
  <si>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</si>
  <si>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</si>
  <si>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</si>
  <si>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</si>
  <si>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</si>
  <si>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</si>
  <si>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</si>
  <si>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</si>
  <si>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</si>
  <si>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</si>
  <si>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</si>
  <si>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</si>
  <si>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</si>
  <si>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</si>
  <si>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</si>
  <si>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</si>
  <si>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</si>
  <si>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</si>
  <si>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</si>
  <si>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</si>
  <si>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</si>
  <si>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</si>
  <si>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</si>
  <si>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</si>
  <si>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</si>
  <si>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</si>
  <si>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</si>
  <si>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</si>
  <si>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</si>
  <si>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</si>
  <si>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</si>
  <si>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</si>
  <si>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</si>
  <si>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</si>
  <si>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</si>
  <si>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</si>
  <si>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</si>
  <si>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</si>
  <si>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</si>
  <si>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</si>
  <si>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</si>
  <si>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</si>
  <si>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</si>
  <si>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</si>
  <si>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</si>
  <si>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</si>
  <si>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</si>
  <si>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</si>
  <si>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</si>
  <si>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</si>
  <si>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</si>
  <si>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</si>
  <si>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</si>
  <si>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</si>
  <si>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</si>
  <si>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</si>
  <si>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</si>
  <si>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</si>
  <si>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</si>
  <si>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</si>
  <si>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</si>
  <si>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</si>
  <si>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</si>
  <si>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</si>
  <si>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</si>
  <si>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</si>
  <si>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</si>
  <si>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</si>
  <si>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</si>
  <si>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</si>
  <si>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</si>
  <si>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</si>
  <si>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</si>
  <si>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</si>
  <si>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</si>
  <si>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</si>
  <si>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</si>
  <si>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</si>
  <si>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</si>
  <si>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</si>
  <si>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</si>
  <si>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</si>
  <si>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</si>
  <si>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</si>
  <si>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</si>
  <si>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</si>
  <si>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</si>
  <si>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</si>
  <si>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</si>
  <si>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</si>
  <si>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</si>
  <si>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</si>
  <si>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</si>
  <si>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</si>
  <si>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</si>
  <si>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</si>
  <si>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</si>
  <si>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</si>
  <si>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</si>
  <si>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</si>
  <si>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</si>
  <si>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</si>
  <si>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</si>
  <si>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</si>
  <si>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</si>
  <si>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</si>
  <si>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</si>
  <si>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</si>
  <si>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</si>
  <si>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</si>
  <si>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</si>
  <si>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</si>
  <si>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</si>
  <si>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</si>
  <si>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</si>
  <si>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</si>
  <si>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</si>
  <si>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</si>
  <si>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</si>
  <si>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</si>
  <si>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</si>
  <si>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</si>
  <si>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</si>
  <si>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</si>
  <si>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</si>
  <si>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</si>
  <si>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</si>
  <si>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 вручную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</si>
  <si>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</si>
  <si>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</si>
  <si>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</si>
  <si>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</si>
  <si>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</si>
  <si>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</si>
  <si>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</si>
  <si>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</si>
  <si>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</si>
  <si>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</si>
  <si>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</si>
  <si>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</si>
  <si>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</si>
  <si>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</si>
  <si>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</si>
  <si>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</si>
  <si>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</si>
  <si>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</si>
  <si>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</si>
  <si>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</si>
  <si>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</si>
  <si>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</si>
  <si>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</si>
  <si>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</si>
  <si>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</si>
  <si>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</si>
  <si>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</si>
  <si>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</si>
  <si>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</si>
  <si>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</si>
  <si>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Радиус скругления прибыли 16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</si>
  <si>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</si>
  <si>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</si>
  <si>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</si>
  <si>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</si>
  <si>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</si>
  <si>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</si>
  <si>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</si>
  <si>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</si>
  <si>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</si>
  <si>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</si>
  <si>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</si>
  <si>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</si>
  <si>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</si>
  <si>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</si>
  <si>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</si>
  <si>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</si>
  <si>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</si>
  <si>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</si>
  <si>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</si>
  <si>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</si>
  <si>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</si>
  <si>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</si>
  <si>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</si>
  <si>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</si>
  <si>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</si>
  <si>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</si>
  <si>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литн. Сист.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</si>
  <si>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</si>
  <si>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</si>
  <si>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</si>
  <si>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</si>
  <si>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</si>
  <si>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</si>
  <si>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</si>
  <si>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</si>
  <si>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</si>
  <si>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</si>
  <si>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</si>
  <si>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</si>
  <si>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</si>
  <si>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</si>
  <si>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</si>
  <si>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</si>
  <si>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</si>
  <si>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</si>
  <si>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</si>
  <si>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</si>
  <si>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</si>
  <si>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</si>
  <si>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</si>
  <si>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</si>
  <si>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</si>
  <si>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</si>
  <si>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</si>
  <si>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</si>
  <si>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</si>
  <si>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</si>
  <si>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</si>
  <si>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</si>
  <si>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</si>
  <si>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</si>
  <si>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</si>
  <si>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</si>
  <si>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</si>
  <si>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</si>
  <si>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</si>
  <si>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</si>
  <si>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</si>
  <si>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</si>
  <si>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</si>
  <si>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</si>
  <si>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</si>
  <si>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</si>
  <si>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</si>
  <si>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</si>
  <si>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</si>
  <si>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</si>
  <si>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</si>
  <si>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</si>
  <si>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</si>
  <si>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</si>
  <si>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</si>
  <si>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</si>
  <si>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</si>
  <si>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</si>
  <si>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</si>
  <si>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</si>
  <si>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</si>
  <si>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</si>
  <si>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</si>
  <si>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</si>
  <si>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</si>
  <si>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</si>
  <si>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</si>
  <si>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</si>
  <si>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</si>
  <si>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</si>
  <si>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</si>
  <si>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</si>
  <si>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</si>
  <si>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</si>
  <si>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</si>
  <si>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</si>
  <si>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</si>
  <si>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</si>
  <si>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</si>
  <si>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</si>
  <si>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</si>
  <si>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</si>
  <si>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</si>
  <si>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</si>
  <si>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</si>
  <si>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</si>
  <si>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</si>
  <si>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</si>
  <si>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</si>
  <si>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</si>
  <si>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</si>
  <si>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</si>
  <si>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</si>
  <si>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</si>
  <si>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</si>
  <si>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</si>
  <si>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</si>
  <si>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</si>
  <si>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</si>
  <si>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</si>
  <si>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</si>
  <si>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</si>
  <si>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</si>
  <si>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</si>
  <si>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</si>
  <si>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</si>
  <si>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</si>
  <si>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</si>
  <si>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</si>
  <si>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</si>
  <si>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</si>
  <si>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</si>
  <si>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</si>
  <si>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</si>
  <si>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</si>
  <si>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</si>
  <si>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</si>
  <si>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</si>
  <si>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</si>
  <si>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</si>
  <si>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</si>
  <si>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</si>
  <si>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</si>
  <si>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</si>
  <si>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</si>
  <si>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</si>
  <si>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</si>
  <si>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</si>
  <si>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</si>
  <si>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</si>
  <si>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</si>
  <si>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</si>
  <si>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</si>
  <si>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</si>
  <si>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</si>
  <si>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</si>
  <si>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</si>
  <si>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</si>
  <si>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</si>
  <si>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</si>
  <si>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</si>
  <si>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</si>
  <si>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</si>
  <si>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</si>
  <si>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</si>
  <si>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</si>
  <si>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</si>
  <si>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</si>
  <si>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</si>
  <si>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</si>
  <si>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</si>
  <si>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</si>
  <si>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</si>
  <si>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</si>
  <si>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</si>
  <si>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</si>
  <si>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</si>
  <si>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</si>
  <si>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</si>
  <si>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</si>
  <si>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</si>
  <si>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</si>
  <si>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</si>
  <si>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</si>
  <si>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</si>
  <si>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</si>
  <si>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</si>
  <si>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</si>
  <si>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</si>
  <si>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</si>
  <si>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</si>
  <si>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</si>
  <si>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</si>
  <si>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</si>
  <si>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</si>
  <si>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</si>
  <si>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</si>
  <si>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</si>
  <si>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</si>
  <si>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</si>
  <si>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</si>
  <si>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</si>
  <si>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</si>
  <si>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</si>
  <si>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</si>
  <si>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</si>
  <si>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</si>
  <si>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</si>
  <si>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</si>
  <si>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</si>
  <si>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</si>
  <si>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</si>
  <si>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</si>
  <si>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</si>
  <si>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</si>
  <si>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</si>
  <si>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</si>
  <si>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</si>
  <si>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</si>
  <si>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</si>
  <si>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</si>
  <si>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</si>
  <si>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</si>
  <si>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</si>
  <si>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</si>
  <si>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</si>
  <si>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</si>
  <si>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</si>
  <si>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</si>
  <si>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</si>
  <si>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</si>
  <si>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</si>
  <si>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</si>
  <si>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</si>
  <si>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</si>
  <si>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</si>
  <si>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</si>
  <si>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</si>
  <si>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</si>
  <si>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</si>
  <si>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</si>
  <si>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</si>
  <si>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</si>
  <si>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</si>
  <si>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</si>
  <si>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</si>
  <si>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</si>
  <si>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</si>
  <si>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</si>
  <si>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</si>
  <si>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</si>
  <si>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</si>
  <si>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</si>
  <si>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</si>
  <si>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</si>
  <si>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</si>
  <si>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</si>
  <si>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</si>
  <si>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</si>
  <si>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</si>
  <si>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</si>
  <si>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</si>
  <si>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</si>
  <si>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</si>
  <si>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</si>
  <si>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</si>
  <si>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</si>
  <si>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</si>
  <si>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</si>
  <si>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</si>
  <si>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</si>
  <si>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</si>
  <si>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</si>
  <si>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</si>
  <si>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</si>
  <si>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</si>
  <si>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</si>
  <si>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</si>
  <si>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</si>
  <si>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</si>
  <si>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</si>
  <si>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</si>
  <si>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</si>
  <si>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</si>
  <si>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</si>
  <si>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</si>
  <si>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</si>
  <si>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</si>
  <si>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</si>
  <si>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</si>
  <si>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</si>
  <si>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</si>
  <si>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</si>
  <si>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</si>
  <si>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</si>
  <si>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</si>
  <si>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Ø216/174*Ø182/145*600</t>
  </si>
  <si>
    <t>(15.00402)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</si>
  <si>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</si>
  <si>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</si>
  <si>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</si>
  <si>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</si>
  <si>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</si>
  <si>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</si>
  <si>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</si>
  <si>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165/320/332,8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</si>
  <si>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</si>
  <si>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</si>
  <si>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</si>
  <si>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</si>
  <si>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</si>
  <si>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</si>
  <si>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</si>
  <si>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</si>
  <si>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</si>
  <si>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</si>
  <si>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</si>
  <si>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</si>
  <si>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</si>
  <si>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</si>
  <si>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</si>
  <si>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</si>
  <si>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</si>
  <si>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</si>
  <si>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</si>
  <si>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</si>
  <si>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</si>
  <si>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</si>
  <si>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</si>
  <si>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</si>
  <si>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</si>
  <si>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</si>
  <si>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</si>
  <si>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</si>
  <si>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</si>
  <si>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</si>
  <si>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</si>
  <si>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</si>
  <si>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</si>
  <si>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</si>
  <si>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</si>
  <si>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</si>
  <si>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</si>
  <si>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</si>
  <si>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</si>
  <si>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</si>
  <si>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</si>
  <si>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</si>
  <si>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</si>
  <si>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</si>
  <si>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</si>
  <si>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</si>
  <si>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</si>
  <si>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</si>
  <si>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</si>
  <si>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</si>
  <si>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</si>
  <si>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</si>
  <si>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</si>
  <si>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</si>
  <si>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</si>
  <si>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</si>
  <si>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</si>
  <si>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</si>
  <si>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</si>
  <si>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</si>
  <si>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</si>
  <si>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</si>
  <si>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</si>
  <si>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</si>
  <si>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</si>
  <si>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</si>
  <si>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</si>
  <si>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</si>
  <si>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</si>
  <si>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</si>
  <si>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</si>
  <si>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</si>
  <si>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</si>
  <si>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</si>
  <si>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</si>
  <si>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</si>
  <si>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</si>
  <si>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</si>
  <si>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</si>
  <si>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</si>
  <si>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</si>
  <si>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</si>
  <si>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</si>
  <si>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</si>
  <si>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</si>
  <si>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</si>
  <si>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</si>
  <si>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</si>
  <si>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</si>
  <si>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</si>
  <si>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</si>
  <si>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</si>
  <si>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</si>
  <si>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</si>
  <si>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</si>
  <si>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</si>
  <si>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</si>
  <si>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</si>
  <si>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</si>
  <si>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</si>
  <si>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</si>
  <si>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</si>
  <si>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</si>
  <si>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</si>
  <si>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</si>
  <si>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</si>
  <si>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</si>
  <si>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</si>
  <si>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</si>
  <si>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</si>
  <si>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</si>
  <si>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</si>
  <si>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</si>
  <si>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</si>
  <si>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</si>
  <si>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</si>
  <si>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</si>
  <si>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</si>
  <si>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</si>
  <si>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</si>
  <si>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</si>
  <si>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</si>
  <si>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</si>
  <si>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</si>
  <si>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</si>
  <si>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</si>
  <si>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</si>
  <si>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</si>
  <si>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</si>
  <si>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</si>
  <si>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</si>
  <si>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</si>
  <si>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</si>
  <si>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</si>
  <si>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</si>
  <si>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</si>
  <si>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</si>
  <si>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</si>
  <si>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</si>
  <si>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</si>
  <si>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</si>
  <si>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</si>
  <si>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1060-1080 ° C</t>
  </si>
  <si>
    <t>242.04.462 - 1</t>
  </si>
  <si>
    <t>чертёж</t>
  </si>
  <si>
    <t>литейная технология</t>
  </si>
  <si>
    <t>Радиус скругления прибыли 26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</si>
  <si>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</si>
  <si>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</si>
  <si>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</si>
  <si>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</si>
  <si>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</si>
  <si>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</si>
  <si>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</si>
  <si>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</si>
  <si>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</si>
  <si>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</si>
  <si>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</si>
  <si>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</si>
  <si>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</si>
  <si>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</si>
  <si>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</si>
  <si>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</si>
  <si>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</si>
  <si>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</si>
  <si>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</si>
  <si>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</si>
  <si>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</si>
  <si>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</si>
  <si>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</si>
  <si>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</si>
  <si>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</si>
  <si>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</si>
  <si>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</si>
  <si>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</si>
  <si>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</si>
  <si>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</si>
  <si>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</si>
  <si>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</si>
  <si>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</si>
  <si>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</si>
  <si>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</si>
  <si>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</si>
  <si>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</si>
  <si>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</si>
  <si>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</si>
  <si>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</si>
  <si>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</si>
  <si>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</si>
  <si>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</si>
  <si>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</si>
  <si>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</si>
  <si>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</si>
  <si>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</si>
  <si>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</si>
  <si>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</si>
  <si>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</si>
  <si>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</si>
  <si>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</si>
  <si>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</si>
  <si>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</si>
  <si>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</si>
  <si>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</si>
  <si>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</si>
  <si>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</si>
  <si>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</si>
  <si>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</si>
  <si>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</si>
  <si>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</si>
  <si>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</si>
  <si>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</si>
  <si>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</si>
  <si>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</si>
  <si>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</si>
  <si>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</si>
  <si>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</si>
  <si>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</si>
  <si>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</si>
  <si>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</si>
  <si>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</si>
  <si>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</si>
  <si>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</si>
  <si>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</si>
  <si>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</si>
  <si>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</si>
  <si>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</si>
  <si>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</si>
  <si>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</si>
  <si>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</si>
  <si>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</si>
  <si>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</si>
  <si>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</si>
  <si>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</si>
  <si>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</si>
  <si>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</si>
  <si>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</si>
  <si>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</si>
  <si>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</si>
  <si>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</si>
  <si>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</si>
  <si>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</si>
  <si>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</si>
  <si>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</si>
  <si>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</si>
  <si>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</si>
  <si>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</si>
  <si>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</si>
  <si>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</si>
  <si>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</si>
  <si>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</si>
  <si>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</si>
  <si>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</si>
  <si>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</si>
  <si>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</si>
  <si>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</si>
  <si>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</si>
  <si>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</si>
  <si>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</si>
  <si>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</si>
  <si>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</si>
  <si>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</si>
  <si>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</si>
  <si>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</si>
  <si>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</si>
  <si>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</si>
  <si>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</si>
  <si>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</si>
  <si>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</si>
  <si>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</si>
  <si>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</si>
  <si>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</si>
  <si>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</si>
  <si>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</si>
  <si>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</si>
  <si>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</si>
  <si>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</si>
  <si>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</si>
  <si>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</si>
  <si>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</si>
  <si>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</si>
  <si>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</si>
  <si>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</si>
  <si>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</si>
  <si>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</si>
  <si>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</si>
  <si>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</si>
  <si>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</si>
  <si>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</si>
  <si>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</si>
  <si>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</si>
  <si>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</si>
  <si>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</si>
  <si>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</si>
  <si>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</si>
  <si>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</si>
  <si>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700*700</t>
  </si>
  <si>
    <t>700*1000</t>
  </si>
  <si>
    <t>норма времени:</t>
  </si>
  <si>
    <t>1500*1000</t>
  </si>
  <si>
    <t>1800*1200</t>
  </si>
  <si>
    <t>2102.67-2.00-003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</si>
  <si>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</si>
  <si>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</si>
  <si>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</si>
  <si>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</si>
  <si>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</si>
  <si>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</si>
  <si>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</si>
  <si>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</si>
  <si>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</si>
  <si>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</si>
  <si>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</si>
  <si>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</si>
  <si>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</si>
  <si>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</si>
  <si>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</si>
  <si>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</si>
  <si>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</si>
  <si>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</si>
  <si>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</si>
  <si>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</si>
  <si>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</si>
  <si>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</si>
  <si>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</si>
  <si>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</si>
  <si>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</si>
  <si>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</si>
  <si>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</si>
  <si>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</si>
  <si>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</si>
  <si>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</si>
  <si>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</si>
  <si>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</si>
  <si>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</si>
  <si>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</si>
  <si>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</si>
  <si>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</si>
  <si>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</si>
  <si>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</si>
  <si>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</si>
  <si>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</si>
  <si>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</si>
  <si>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</si>
  <si>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</si>
  <si>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</si>
  <si>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</si>
  <si>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</si>
  <si>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</si>
  <si>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</si>
  <si>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</si>
  <si>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</si>
  <si>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</si>
  <si>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</si>
  <si>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</si>
  <si>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</si>
  <si>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</si>
  <si>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</si>
  <si>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</si>
  <si>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</si>
  <si>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</si>
  <si>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</si>
  <si>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</si>
  <si>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</si>
  <si>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</si>
  <si>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</si>
  <si>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</si>
  <si>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</si>
  <si>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</si>
  <si>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</si>
  <si>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</si>
  <si>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</si>
  <si>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</si>
  <si>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</si>
  <si>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</si>
  <si>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</si>
  <si>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</si>
  <si>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</si>
  <si>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</si>
  <si>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</si>
  <si>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</si>
  <si>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</si>
  <si>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</si>
  <si>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</si>
  <si>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</si>
  <si>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</si>
  <si>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</si>
  <si>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</si>
  <si>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</si>
  <si>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</si>
  <si>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</si>
  <si>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</si>
  <si>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</si>
  <si>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</si>
  <si>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</si>
  <si>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</si>
  <si>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</si>
  <si>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</si>
  <si>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</si>
  <si>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</si>
  <si>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344296-003</t>
  </si>
  <si>
    <t>145х90х350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</si>
  <si>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</si>
  <si>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</si>
  <si>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</si>
  <si>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</si>
  <si>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</si>
  <si>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</si>
  <si>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</si>
  <si>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</si>
  <si>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</si>
  <si>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</si>
  <si>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</si>
  <si>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</si>
  <si>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</si>
  <si>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</si>
  <si>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</si>
  <si>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</si>
  <si>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</si>
  <si>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</si>
  <si>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</si>
  <si>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</si>
  <si>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</si>
  <si>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</si>
  <si>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</si>
  <si>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</si>
  <si>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</si>
  <si>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</si>
  <si>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</si>
  <si>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</si>
  <si>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</si>
  <si>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</si>
  <si>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</si>
  <si>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</si>
  <si>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</si>
  <si>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</si>
  <si>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</si>
  <si>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</si>
  <si>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</si>
  <si>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</si>
  <si>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</si>
  <si>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</si>
  <si>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</si>
  <si>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</si>
  <si>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</si>
  <si>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</si>
  <si>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</si>
  <si>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</si>
  <si>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</si>
  <si>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</si>
  <si>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</si>
  <si>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</si>
  <si>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</si>
  <si>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</si>
  <si>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</si>
  <si>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</si>
  <si>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</si>
  <si>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</si>
  <si>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</si>
  <si>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</si>
  <si>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</si>
  <si>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</si>
  <si>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</si>
  <si>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</si>
  <si>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</si>
  <si>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</si>
  <si>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</si>
  <si>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</si>
  <si>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</si>
  <si>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</si>
  <si>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</si>
  <si>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</si>
  <si>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</si>
  <si>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</si>
  <si>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</si>
  <si>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</si>
  <si>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</si>
  <si>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</si>
  <si>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</si>
  <si>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</si>
  <si>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</si>
  <si>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</si>
  <si>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</si>
  <si>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</si>
  <si>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</si>
  <si>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</si>
  <si>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</si>
  <si>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</si>
  <si>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</si>
  <si>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</si>
  <si>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</si>
  <si>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</si>
  <si>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</si>
  <si>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</si>
  <si>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</si>
  <si>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</si>
  <si>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</si>
  <si>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</si>
  <si>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</si>
  <si>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344149-002</t>
  </si>
  <si>
    <t>960/910х780х100/1150</t>
  </si>
  <si>
    <t>Размеры: 960/910х780х100/1150</t>
  </si>
  <si>
    <t>Стержневой ящик:</t>
  </si>
  <si>
    <t>Ø 760, H = 1590</t>
  </si>
  <si>
    <t>4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</si>
  <si>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</si>
  <si>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</si>
  <si>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</si>
  <si>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</si>
  <si>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</si>
  <si>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</si>
  <si>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</si>
  <si>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</si>
  <si>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</si>
  <si>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</si>
  <si>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</si>
  <si>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</si>
  <si>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</si>
  <si>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</si>
  <si>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t xml:space="preserve"> /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</si>
  <si>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</si>
  <si>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</si>
  <si>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</si>
  <si>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</si>
  <si>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6-12 четн.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</si>
  <si>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</si>
  <si>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</si>
  <si>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</si>
  <si>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</si>
  <si>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</si>
  <si>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</si>
  <si>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</si>
  <si>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</si>
  <si>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</si>
  <si>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</si>
  <si>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</si>
  <si>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</si>
  <si>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</si>
  <si>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</si>
  <si>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</si>
  <si>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</si>
  <si>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</si>
  <si>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</si>
  <si>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</si>
  <si>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</si>
  <si>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</si>
  <si>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</si>
  <si>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</si>
  <si>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</si>
  <si>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</si>
  <si>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</si>
  <si>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</si>
  <si>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</si>
  <si>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</si>
  <si>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</si>
  <si>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</si>
  <si>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</si>
  <si>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</si>
  <si>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</si>
  <si>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</si>
  <si>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</si>
  <si>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</si>
  <si>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</si>
  <si>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</si>
  <si>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</si>
  <si>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</si>
  <si>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1=+20</t>
  </si>
  <si>
    <t>2=+40</t>
  </si>
  <si>
    <t>3=+60</t>
  </si>
  <si>
    <t>Высота болвана</t>
  </si>
  <si>
    <t>Толщина стенки отливки</t>
  </si>
  <si>
    <t>Диаметр надставки № 20, мм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</si>
  <si>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</si>
  <si>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</si>
  <si>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</si>
  <si>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</si>
  <si>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</si>
  <si>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</si>
  <si>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 xml:space="preserve"> / </t>
  </si>
  <si>
    <t>Втулка задняя</t>
  </si>
  <si>
    <t>344568-004</t>
  </si>
  <si>
    <t>ср шир планки</t>
  </si>
  <si>
    <t>6х60х600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</si>
  <si>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</si>
  <si>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</si>
  <si>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</si>
  <si>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</si>
  <si>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</si>
  <si>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</si>
  <si>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</si>
  <si>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</si>
  <si>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344576-005</t>
  </si>
  <si>
    <t>( 300 )</t>
  </si>
  <si>
    <t>Ø 428</t>
  </si>
  <si>
    <t>( 415 )</t>
  </si>
  <si>
    <t>Ø 275</t>
  </si>
  <si>
    <t>8.2.3.53/14.002</t>
  </si>
  <si>
    <t>2 по Ø, 3 по длине</t>
  </si>
  <si>
    <t>8.2.3.53/14.001</t>
  </si>
  <si>
    <t>Полукольцо</t>
  </si>
  <si>
    <t>344581-005</t>
  </si>
  <si>
    <t>17-2045-032</t>
  </si>
  <si>
    <t>95х130х210</t>
  </si>
  <si>
    <t>344580-005</t>
  </si>
  <si>
    <t>364004-005</t>
  </si>
  <si>
    <t>Кольцо поршневое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</si>
  <si>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</si>
  <si>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</si>
  <si>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</si>
  <si>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</si>
  <si>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</si>
  <si>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</si>
  <si>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</si>
  <si>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</si>
  <si>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</si>
  <si>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</si>
  <si>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</si>
  <si>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</si>
  <si>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</si>
  <si>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</si>
  <si>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</si>
  <si>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1935*710</t>
  </si>
  <si>
    <t>242.04.464 -5</t>
  </si>
  <si>
    <t>344234-002</t>
  </si>
  <si>
    <t>Ю-13-75-001</t>
  </si>
  <si>
    <t>Венец червячного колеса</t>
  </si>
  <si>
    <t>3</t>
  </si>
  <si>
    <t xml:space="preserve"> Ø 916*740</t>
  </si>
  <si>
    <t>опоки: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</si>
  <si>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</si>
  <si>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</si>
  <si>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</si>
  <si>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</si>
  <si>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</si>
  <si>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</si>
  <si>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</si>
  <si>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</si>
  <si>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</si>
  <si>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</si>
  <si>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</si>
  <si>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</si>
  <si>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</si>
  <si>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Разер плеча бурта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</si>
</sst>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3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77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4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0" fillId="5" borderId="9" xfId="0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1" borderId="5" xfId="0" applyFont="1" applyFill="1" applyBorder="1"/>
    <xf numFmtId="0" fontId="32" fillId="8" borderId="5" xfId="0" applyFont="1" applyFill="1" applyBorder="1"/>
    <xf numFmtId="0" fontId="42" fillId="16" borderId="5" xfId="0" applyFont="1" applyFill="1" applyBorder="1"/>
    <xf numFmtId="0" fontId="42" fillId="16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20" borderId="14" xfId="0" applyFont="1" applyFill="1" applyBorder="1"/>
    <xf numFmtId="0" fontId="6" fillId="20" borderId="12" xfId="0" applyFont="1" applyFill="1" applyBorder="1"/>
    <xf numFmtId="0" fontId="0" fillId="5" borderId="14" xfId="0" applyFill="1" applyBorder="1"/>
    <xf numFmtId="0" fontId="0" fillId="22" borderId="0" xfId="0" applyFill="1" applyBorder="1"/>
    <xf numFmtId="0" fontId="32" fillId="22" borderId="29" xfId="0" applyFont="1" applyFill="1" applyBorder="1" applyAlignment="1">
      <alignment horizontal="right"/>
    </xf>
    <xf numFmtId="0" fontId="32" fillId="22" borderId="5" xfId="0" applyFont="1" applyFill="1" applyBorder="1"/>
    <xf numFmtId="0" fontId="32" fillId="22" borderId="0" xfId="0" applyFont="1" applyFill="1" applyBorder="1" applyAlignment="1">
      <alignment horizontal="right"/>
    </xf>
    <xf numFmtId="0" fontId="32" fillId="22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9" borderId="12" xfId="0" applyFont="1" applyFill="1" applyBorder="1" applyAlignment="1">
      <alignment horizontal="center"/>
    </xf>
    <xf numFmtId="164" fontId="6" fillId="19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4" borderId="0" xfId="0" applyFont="1" applyFill="1"/>
    <xf numFmtId="0" fontId="35" fillId="14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2" borderId="10" xfId="1" applyFont="1" applyFill="1" applyBorder="1" applyAlignment="1" applyProtection="1"/>
    <xf numFmtId="0" fontId="47" fillId="12" borderId="22" xfId="1" applyFont="1" applyFill="1" applyBorder="1" applyAlignment="1" applyProtection="1"/>
    <xf numFmtId="0" fontId="25" fillId="13" borderId="11" xfId="0" applyFont="1" applyFill="1" applyBorder="1"/>
    <xf numFmtId="0" fontId="48" fillId="0" borderId="0" xfId="0" applyFont="1" applyBorder="1"/>
    <xf numFmtId="0" fontId="47" fillId="12" borderId="13" xfId="1" applyFont="1" applyFill="1" applyBorder="1" applyAlignment="1" applyProtection="1"/>
    <xf numFmtId="0" fontId="47" fillId="12" borderId="5" xfId="1" applyFont="1" applyFill="1" applyBorder="1" applyAlignment="1" applyProtection="1"/>
    <xf numFmtId="0" fontId="48" fillId="13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3" borderId="13" xfId="0" applyFont="1" applyFill="1" applyBorder="1"/>
    <xf numFmtId="0" fontId="47" fillId="12" borderId="5" xfId="1" applyFont="1" applyFill="1" applyBorder="1" applyAlignment="1" applyProtection="1">
      <alignment horizontal="left"/>
    </xf>
    <xf numFmtId="0" fontId="25" fillId="13" borderId="5" xfId="0" applyFont="1" applyFill="1" applyBorder="1"/>
    <xf numFmtId="0" fontId="48" fillId="13" borderId="16" xfId="0" applyFont="1" applyFill="1" applyBorder="1"/>
    <xf numFmtId="0" fontId="47" fillId="12" borderId="23" xfId="1" applyFont="1" applyFill="1" applyBorder="1" applyAlignment="1" applyProtection="1">
      <alignment horizontal="left"/>
    </xf>
    <xf numFmtId="0" fontId="47" fillId="12" borderId="23" xfId="1" applyFont="1" applyFill="1" applyBorder="1" applyAlignment="1" applyProtection="1"/>
    <xf numFmtId="0" fontId="25" fillId="13" borderId="23" xfId="0" applyFont="1" applyFill="1" applyBorder="1"/>
    <xf numFmtId="0" fontId="48" fillId="13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4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1" borderId="0" xfId="0" applyFont="1" applyFill="1"/>
    <xf numFmtId="0" fontId="25" fillId="18" borderId="0" xfId="0" applyFont="1" applyFill="1"/>
    <xf numFmtId="0" fontId="25" fillId="18" borderId="0" xfId="0" applyFont="1" applyFill="1" applyAlignment="1">
      <alignment horizontal="right"/>
    </xf>
    <xf numFmtId="0" fontId="25" fillId="18" borderId="0" xfId="0" applyFont="1" applyFill="1" applyBorder="1"/>
    <xf numFmtId="0" fontId="25" fillId="23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6" borderId="0" xfId="0" applyFont="1" applyFill="1"/>
    <xf numFmtId="0" fontId="0" fillId="26" borderId="45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6" borderId="40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 wrapText="1"/>
    </xf>
    <xf numFmtId="0" fontId="0" fillId="26" borderId="44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60" fillId="26" borderId="6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/>
    </xf>
    <xf numFmtId="0" fontId="60" fillId="26" borderId="5" xfId="0" applyFont="1" applyFill="1" applyBorder="1" applyAlignment="1">
      <alignment horizontal="center" vertical="center"/>
    </xf>
    <xf numFmtId="0" fontId="60" fillId="26" borderId="46" xfId="0" applyFont="1" applyFill="1" applyBorder="1" applyAlignment="1">
      <alignment horizontal="center" vertical="center"/>
    </xf>
    <xf numFmtId="0" fontId="60" fillId="26" borderId="45" xfId="0" applyFont="1" applyFill="1" applyBorder="1" applyAlignment="1">
      <alignment horizontal="center" vertical="center"/>
    </xf>
    <xf numFmtId="0" fontId="61" fillId="26" borderId="5" xfId="0" applyFont="1" applyFill="1" applyBorder="1" applyAlignment="1">
      <alignment horizontal="center" vertical="center"/>
    </xf>
    <xf numFmtId="0" fontId="62" fillId="26" borderId="5" xfId="0" applyFont="1" applyFill="1" applyBorder="1" applyAlignment="1">
      <alignment horizontal="center" vertical="center"/>
    </xf>
    <xf numFmtId="0" fontId="63" fillId="26" borderId="5" xfId="0" applyFont="1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6" borderId="5" xfId="0" applyFont="1" applyFill="1" applyBorder="1"/>
    <xf numFmtId="0" fontId="25" fillId="26" borderId="45" xfId="0" applyFont="1" applyFill="1" applyBorder="1"/>
    <xf numFmtId="0" fontId="25" fillId="26" borderId="5" xfId="0" applyFont="1" applyFill="1" applyBorder="1" applyAlignment="1">
      <alignment horizontal="center"/>
    </xf>
    <xf numFmtId="0" fontId="25" fillId="13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1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6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2" borderId="5" xfId="0" applyFill="1" applyBorder="1"/>
    <xf numFmtId="0" fontId="20" fillId="22" borderId="5" xfId="0" applyFont="1" applyFill="1" applyBorder="1" applyAlignment="1">
      <alignment horizontal="righ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29" borderId="32" xfId="0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30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30" borderId="14" xfId="0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30" borderId="14" xfId="0" applyFill="1" applyBorder="1"/>
    <xf numFmtId="0" fontId="0" fillId="14" borderId="13" xfId="0" applyFill="1" applyBorder="1" applyAlignment="1">
      <alignment horizontal="center" vertical="center"/>
    </xf>
    <xf numFmtId="0" fontId="0" fillId="29" borderId="16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52" xfId="0" applyFill="1" applyBorder="1" applyAlignment="1">
      <alignment horizontal="center" vertical="center"/>
    </xf>
    <xf numFmtId="0" fontId="0" fillId="30" borderId="23" xfId="0" applyFill="1" applyBorder="1" applyAlignment="1">
      <alignment horizontal="center" vertical="center"/>
    </xf>
    <xf numFmtId="0" fontId="0" fillId="30" borderId="23" xfId="0" applyFill="1" applyBorder="1"/>
    <xf numFmtId="0" fontId="0" fillId="30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1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1" borderId="7" xfId="0" applyFont="1" applyFill="1" applyBorder="1"/>
    <xf numFmtId="0" fontId="76" fillId="21" borderId="8" xfId="0" applyFont="1" applyFill="1" applyBorder="1" applyAlignment="1">
      <alignment horizontal="left"/>
    </xf>
    <xf numFmtId="0" fontId="83" fillId="21" borderId="0" xfId="0" applyFont="1" applyFill="1" applyBorder="1"/>
    <xf numFmtId="0" fontId="76" fillId="0" borderId="13" xfId="0" applyFont="1" applyFill="1" applyBorder="1"/>
    <xf numFmtId="0" fontId="76" fillId="21" borderId="0" xfId="0" applyFont="1" applyFill="1" applyBorder="1"/>
    <xf numFmtId="0" fontId="76" fillId="21" borderId="12" xfId="0" applyFont="1" applyFill="1" applyBorder="1"/>
    <xf numFmtId="0" fontId="76" fillId="21" borderId="13" xfId="0" applyFont="1" applyFill="1" applyBorder="1"/>
    <xf numFmtId="2" fontId="83" fillId="21" borderId="0" xfId="0" applyNumberFormat="1" applyFont="1" applyFill="1" applyBorder="1"/>
    <xf numFmtId="0" fontId="76" fillId="21" borderId="19" xfId="0" applyFont="1" applyFill="1" applyBorder="1"/>
    <xf numFmtId="0" fontId="84" fillId="21" borderId="10" xfId="0" applyFont="1" applyFill="1" applyBorder="1" applyAlignment="1">
      <alignment horizontal="left"/>
    </xf>
    <xf numFmtId="0" fontId="85" fillId="21" borderId="8" xfId="0" applyFont="1" applyFill="1" applyBorder="1" applyAlignment="1">
      <alignment horizontal="left"/>
    </xf>
    <xf numFmtId="0" fontId="85" fillId="21" borderId="9" xfId="0" applyFont="1" applyFill="1" applyBorder="1" applyAlignment="1">
      <alignment horizontal="left"/>
    </xf>
    <xf numFmtId="0" fontId="84" fillId="21" borderId="13" xfId="0" applyFont="1" applyFill="1" applyBorder="1"/>
    <xf numFmtId="0" fontId="86" fillId="21" borderId="0" xfId="0" applyFont="1" applyFill="1" applyBorder="1"/>
    <xf numFmtId="0" fontId="86" fillId="21" borderId="12" xfId="0" applyFont="1" applyFill="1" applyBorder="1"/>
    <xf numFmtId="0" fontId="85" fillId="0" borderId="13" xfId="0" applyFont="1" applyFill="1" applyBorder="1"/>
    <xf numFmtId="0" fontId="85" fillId="21" borderId="0" xfId="0" applyFont="1" applyFill="1" applyBorder="1"/>
    <xf numFmtId="0" fontId="85" fillId="21" borderId="12" xfId="0" applyFont="1" applyFill="1" applyBorder="1" applyAlignment="1">
      <alignment horizontal="right"/>
    </xf>
    <xf numFmtId="2" fontId="85" fillId="21" borderId="12" xfId="0" applyNumberFormat="1" applyFont="1" applyFill="1" applyBorder="1" applyAlignment="1">
      <alignment horizontal="right"/>
    </xf>
    <xf numFmtId="0" fontId="85" fillId="21" borderId="13" xfId="0" applyFont="1" applyFill="1" applyBorder="1"/>
    <xf numFmtId="0" fontId="85" fillId="21" borderId="12" xfId="0" applyFont="1" applyFill="1" applyBorder="1"/>
    <xf numFmtId="2" fontId="86" fillId="14" borderId="13" xfId="0" applyNumberFormat="1" applyFont="1" applyFill="1" applyBorder="1"/>
    <xf numFmtId="2" fontId="86" fillId="21" borderId="0" xfId="0" applyNumberFormat="1" applyFont="1" applyFill="1" applyBorder="1"/>
    <xf numFmtId="2" fontId="86" fillId="21" borderId="12" xfId="0" applyNumberFormat="1" applyFont="1" applyFill="1" applyBorder="1"/>
    <xf numFmtId="0" fontId="40" fillId="21" borderId="7" xfId="0" applyFont="1" applyFill="1" applyBorder="1"/>
    <xf numFmtId="0" fontId="40" fillId="21" borderId="0" xfId="0" applyFont="1" applyFill="1" applyBorder="1"/>
    <xf numFmtId="0" fontId="85" fillId="21" borderId="12" xfId="0" applyFont="1" applyFill="1" applyBorder="1" applyAlignment="1">
      <alignment horizontal="left"/>
    </xf>
    <xf numFmtId="0" fontId="85" fillId="21" borderId="7" xfId="0" applyFont="1" applyFill="1" applyBorder="1"/>
    <xf numFmtId="49" fontId="85" fillId="21" borderId="7" xfId="0" applyNumberFormat="1" applyFont="1" applyFill="1" applyBorder="1" applyAlignment="1">
      <alignment horizontal="left"/>
    </xf>
    <xf numFmtId="0" fontId="40" fillId="21" borderId="12" xfId="0" applyFont="1" applyFill="1" applyBorder="1"/>
    <xf numFmtId="0" fontId="85" fillId="21" borderId="7" xfId="0" applyFont="1" applyFill="1" applyBorder="1" applyAlignment="1">
      <alignment horizontal="left"/>
    </xf>
    <xf numFmtId="0" fontId="40" fillId="21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1" borderId="26" xfId="0" applyFont="1" applyFill="1" applyBorder="1"/>
    <xf numFmtId="2" fontId="83" fillId="21" borderId="27" xfId="0" applyNumberFormat="1" applyFont="1" applyFill="1" applyBorder="1"/>
    <xf numFmtId="0" fontId="76" fillId="21" borderId="26" xfId="0" applyFont="1" applyFill="1" applyBorder="1" applyAlignment="1">
      <alignment horizontal="right"/>
    </xf>
    <xf numFmtId="0" fontId="85" fillId="21" borderId="28" xfId="0" applyFont="1" applyFill="1" applyBorder="1" applyAlignment="1">
      <alignment horizontal="left"/>
    </xf>
    <xf numFmtId="0" fontId="86" fillId="21" borderId="26" xfId="0" applyFont="1" applyFill="1" applyBorder="1"/>
    <xf numFmtId="0" fontId="85" fillId="21" borderId="26" xfId="0" applyFont="1" applyFill="1" applyBorder="1" applyAlignment="1">
      <alignment horizontal="right"/>
    </xf>
    <xf numFmtId="2" fontId="85" fillId="21" borderId="26" xfId="0" applyNumberFormat="1" applyFont="1" applyFill="1" applyBorder="1" applyAlignment="1">
      <alignment horizontal="right"/>
    </xf>
    <xf numFmtId="0" fontId="85" fillId="21" borderId="26" xfId="0" applyFont="1" applyFill="1" applyBorder="1"/>
    <xf numFmtId="2" fontId="86" fillId="21" borderId="27" xfId="0" applyNumberFormat="1" applyFont="1" applyFill="1" applyBorder="1"/>
    <xf numFmtId="0" fontId="40" fillId="21" borderId="28" xfId="0" applyFont="1" applyFill="1" applyBorder="1"/>
    <xf numFmtId="0" fontId="85" fillId="21" borderId="26" xfId="0" applyFont="1" applyFill="1" applyBorder="1" applyAlignment="1">
      <alignment horizontal="left"/>
    </xf>
    <xf numFmtId="0" fontId="40" fillId="21" borderId="26" xfId="0" applyFont="1" applyFill="1" applyBorder="1"/>
    <xf numFmtId="0" fontId="40" fillId="21" borderId="27" xfId="0" applyFont="1" applyFill="1" applyBorder="1"/>
    <xf numFmtId="0" fontId="40" fillId="32" borderId="15" xfId="0" applyFont="1" applyFill="1" applyBorder="1"/>
    <xf numFmtId="0" fontId="0" fillId="32" borderId="8" xfId="0" applyFill="1" applyBorder="1"/>
    <xf numFmtId="0" fontId="85" fillId="32" borderId="7" xfId="0" applyFont="1" applyFill="1" applyBorder="1" applyAlignment="1">
      <alignment horizontal="left"/>
    </xf>
    <xf numFmtId="0" fontId="0" fillId="32" borderId="0" xfId="0" applyFill="1" applyBorder="1"/>
    <xf numFmtId="0" fontId="83" fillId="32" borderId="12" xfId="0" applyFont="1" applyFill="1" applyBorder="1"/>
    <xf numFmtId="0" fontId="76" fillId="32" borderId="12" xfId="0" applyFont="1" applyFill="1" applyBorder="1"/>
    <xf numFmtId="0" fontId="85" fillId="32" borderId="7" xfId="0" applyFont="1" applyFill="1" applyBorder="1" applyAlignment="1">
      <alignment horizontal="right"/>
    </xf>
    <xf numFmtId="0" fontId="40" fillId="32" borderId="7" xfId="0" applyFont="1" applyFill="1" applyBorder="1"/>
    <xf numFmtId="0" fontId="0" fillId="32" borderId="7" xfId="0" applyFill="1" applyBorder="1"/>
    <xf numFmtId="2" fontId="83" fillId="32" borderId="12" xfId="0" applyNumberFormat="1" applyFont="1" applyFill="1" applyBorder="1"/>
    <xf numFmtId="0" fontId="0" fillId="32" borderId="18" xfId="0" applyFill="1" applyBorder="1"/>
    <xf numFmtId="0" fontId="0" fillId="32" borderId="19" xfId="0" applyFill="1" applyBorder="1"/>
    <xf numFmtId="0" fontId="0" fillId="32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1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3" borderId="26" xfId="0" applyFont="1" applyFill="1" applyBorder="1"/>
    <xf numFmtId="0" fontId="0" fillId="23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4" borderId="2" xfId="0" applyFont="1" applyFill="1" applyBorder="1" applyAlignment="1"/>
    <xf numFmtId="0" fontId="26" fillId="14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7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5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4" borderId="7" xfId="0" applyFont="1" applyFill="1" applyBorder="1" applyAlignment="1"/>
    <xf numFmtId="0" fontId="12" fillId="24" borderId="0" xfId="0" applyFont="1" applyFill="1" applyBorder="1" applyAlignment="1"/>
    <xf numFmtId="0" fontId="71" fillId="0" borderId="0" xfId="2" applyNumberFormat="1"/>
    <xf numFmtId="0" fontId="25" fillId="14" borderId="12" xfId="0" applyFont="1" applyFill="1" applyBorder="1"/>
    <xf numFmtId="0" fontId="25" fillId="14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4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4" borderId="19" xfId="0" applyFont="1" applyFill="1" applyBorder="1"/>
    <xf numFmtId="0" fontId="25" fillId="5" borderId="20" xfId="0" applyFont="1" applyFill="1" applyBorder="1"/>
    <xf numFmtId="0" fontId="44" fillId="22" borderId="15" xfId="0" applyFont="1" applyFill="1" applyBorder="1"/>
    <xf numFmtId="0" fontId="25" fillId="22" borderId="8" xfId="0" applyFont="1" applyFill="1" applyBorder="1" applyAlignment="1">
      <alignment horizontal="center"/>
    </xf>
    <xf numFmtId="0" fontId="49" fillId="22" borderId="8" xfId="0" applyFont="1" applyFill="1" applyBorder="1"/>
    <xf numFmtId="0" fontId="25" fillId="22" borderId="8" xfId="0" applyFont="1" applyFill="1" applyBorder="1"/>
    <xf numFmtId="0" fontId="25" fillId="22" borderId="9" xfId="0" applyFont="1" applyFill="1" applyBorder="1"/>
    <xf numFmtId="0" fontId="25" fillId="22" borderId="7" xfId="0" applyFont="1" applyFill="1" applyBorder="1"/>
    <xf numFmtId="0" fontId="25" fillId="22" borderId="0" xfId="0" applyFont="1" applyFill="1" applyBorder="1" applyAlignment="1">
      <alignment horizontal="right"/>
    </xf>
    <xf numFmtId="0" fontId="25" fillId="22" borderId="0" xfId="0" applyFont="1" applyFill="1" applyBorder="1"/>
    <xf numFmtId="0" fontId="25" fillId="22" borderId="12" xfId="0" applyFont="1" applyFill="1" applyBorder="1"/>
    <xf numFmtId="0" fontId="25" fillId="22" borderId="18" xfId="0" applyFont="1" applyFill="1" applyBorder="1"/>
    <xf numFmtId="0" fontId="25" fillId="22" borderId="19" xfId="0" applyFont="1" applyFill="1" applyBorder="1" applyAlignment="1">
      <alignment horizontal="right"/>
    </xf>
    <xf numFmtId="0" fontId="25" fillId="22" borderId="19" xfId="0" applyFont="1" applyFill="1" applyBorder="1"/>
    <xf numFmtId="0" fontId="25" fillId="22" borderId="20" xfId="0" applyFont="1" applyFill="1" applyBorder="1"/>
    <xf numFmtId="0" fontId="25" fillId="14" borderId="12" xfId="0" applyFont="1" applyFill="1" applyBorder="1" applyAlignment="1"/>
    <xf numFmtId="0" fontId="25" fillId="14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7" borderId="5" xfId="0" applyFont="1" applyFill="1" applyBorder="1"/>
    <xf numFmtId="0" fontId="31" fillId="0" borderId="5" xfId="0" applyFont="1" applyFill="1" applyBorder="1"/>
    <xf numFmtId="0" fontId="31" fillId="26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1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1" borderId="5" xfId="0" applyFont="1" applyFill="1" applyBorder="1"/>
    <xf numFmtId="0" fontId="73" fillId="11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73" fillId="15" borderId="0" xfId="0" applyFont="1" applyFill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29" fillId="0" borderId="5" xfId="0" applyFont="1" applyBorder="1" applyAlignment="1">
      <alignment horizontal="right"/>
    </xf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9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44" fillId="0" borderId="7" xfId="0" applyFont="1" applyFill="1" applyBorder="1" applyAlignment="1"/>
    <xf numFmtId="0" fontId="44" fillId="0" borderId="0" xfId="0" applyFont="1" applyFill="1" applyBorder="1" applyAlignment="1"/>
    <xf numFmtId="0" fontId="25" fillId="0" borderId="18" xfId="0" applyFont="1" applyFill="1" applyBorder="1"/>
    <xf numFmtId="0" fontId="25" fillId="0" borderId="19" xfId="0" applyFont="1" applyFill="1" applyBorder="1"/>
    <xf numFmtId="0" fontId="25" fillId="14" borderId="15" xfId="0" applyFont="1" applyFill="1" applyBorder="1"/>
    <xf numFmtId="0" fontId="25" fillId="26" borderId="8" xfId="0" applyFont="1" applyFill="1" applyBorder="1"/>
    <xf numFmtId="0" fontId="25" fillId="13" borderId="8" xfId="0" applyFont="1" applyFill="1" applyBorder="1"/>
    <xf numFmtId="0" fontId="25" fillId="26" borderId="9" xfId="0" applyFont="1" applyFill="1" applyBorder="1"/>
    <xf numFmtId="0" fontId="25" fillId="14" borderId="7" xfId="0" applyFont="1" applyFill="1" applyBorder="1"/>
    <xf numFmtId="0" fontId="25" fillId="26" borderId="0" xfId="0" applyFont="1" applyFill="1" applyBorder="1"/>
    <xf numFmtId="0" fontId="25" fillId="13" borderId="0" xfId="0" applyFont="1" applyFill="1" applyBorder="1"/>
    <xf numFmtId="0" fontId="25" fillId="26" borderId="12" xfId="0" applyFont="1" applyFill="1" applyBorder="1"/>
    <xf numFmtId="0" fontId="25" fillId="26" borderId="19" xfId="0" applyFont="1" applyFill="1" applyBorder="1"/>
    <xf numFmtId="0" fontId="25" fillId="13" borderId="19" xfId="0" applyFont="1" applyFill="1" applyBorder="1"/>
    <xf numFmtId="0" fontId="25" fillId="26" borderId="20" xfId="0" applyFont="1" applyFill="1" applyBorder="1"/>
    <xf numFmtId="0" fontId="25" fillId="14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5" borderId="7" xfId="0" applyFont="1" applyFill="1" applyBorder="1"/>
    <xf numFmtId="0" fontId="25" fillId="15" borderId="0" xfId="0" applyFont="1" applyFill="1" applyBorder="1"/>
    <xf numFmtId="0" fontId="25" fillId="28" borderId="7" xfId="0" applyFont="1" applyFill="1" applyBorder="1"/>
    <xf numFmtId="0" fontId="25" fillId="28" borderId="0" xfId="0" applyFont="1" applyFill="1" applyBorder="1"/>
    <xf numFmtId="0" fontId="73" fillId="28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9" borderId="8" xfId="0" applyNumberFormat="1" applyFont="1" applyFill="1" applyBorder="1"/>
    <xf numFmtId="0" fontId="32" fillId="19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5" borderId="59" xfId="0" applyFont="1" applyFill="1" applyBorder="1"/>
    <xf numFmtId="0" fontId="0" fillId="0" borderId="52" xfId="0" applyFill="1" applyBorder="1"/>
    <xf numFmtId="0" fontId="36" fillId="17" borderId="13" xfId="0" applyFont="1" applyFill="1" applyBorder="1"/>
    <xf numFmtId="0" fontId="36" fillId="18" borderId="18" xfId="0" applyFont="1" applyFill="1" applyBorder="1" applyAlignment="1">
      <alignment horizontal="right"/>
    </xf>
    <xf numFmtId="0" fontId="0" fillId="17" borderId="61" xfId="0" applyFill="1" applyBorder="1"/>
    <xf numFmtId="0" fontId="0" fillId="19" borderId="57" xfId="0" applyFill="1" applyBorder="1"/>
    <xf numFmtId="0" fontId="36" fillId="18" borderId="15" xfId="0" applyFont="1" applyFill="1" applyBorder="1"/>
    <xf numFmtId="0" fontId="36" fillId="17" borderId="61" xfId="0" applyFont="1" applyFill="1" applyBorder="1"/>
    <xf numFmtId="0" fontId="36" fillId="19" borderId="57" xfId="0" applyFont="1" applyFill="1" applyBorder="1"/>
    <xf numFmtId="0" fontId="36" fillId="17" borderId="39" xfId="0" applyFont="1" applyFill="1" applyBorder="1"/>
    <xf numFmtId="0" fontId="36" fillId="19" borderId="40" xfId="0" applyFont="1" applyFill="1" applyBorder="1"/>
    <xf numFmtId="0" fontId="44" fillId="33" borderId="0" xfId="0" applyFont="1" applyFill="1"/>
    <xf numFmtId="0" fontId="44" fillId="33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1" borderId="7" xfId="0" applyFont="1" applyFill="1" applyBorder="1"/>
    <xf numFmtId="0" fontId="0" fillId="0" borderId="64" xfId="0" applyBorder="1"/>
    <xf numFmtId="0" fontId="57" fillId="31" borderId="13" xfId="0" applyFont="1" applyFill="1" applyBorder="1"/>
    <xf numFmtId="0" fontId="57" fillId="31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2" borderId="2" xfId="0" applyFill="1" applyBorder="1"/>
    <xf numFmtId="0" fontId="0" fillId="32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2" borderId="7" xfId="0" applyFont="1" applyFill="1" applyBorder="1"/>
    <xf numFmtId="0" fontId="0" fillId="32" borderId="12" xfId="0" applyFill="1" applyBorder="1" applyAlignment="1">
      <alignment horizontal="right"/>
    </xf>
    <xf numFmtId="0" fontId="65" fillId="32" borderId="7" xfId="0" applyFont="1" applyFill="1" applyBorder="1"/>
    <xf numFmtId="0" fontId="0" fillId="32" borderId="12" xfId="0" applyFill="1" applyBorder="1"/>
    <xf numFmtId="0" fontId="0" fillId="32" borderId="39" xfId="0" applyFill="1" applyBorder="1"/>
    <xf numFmtId="0" fontId="0" fillId="32" borderId="13" xfId="0" applyFill="1" applyBorder="1"/>
    <xf numFmtId="0" fontId="0" fillId="32" borderId="61" xfId="0" applyFill="1" applyBorder="1"/>
    <xf numFmtId="0" fontId="67" fillId="34" borderId="15" xfId="0" applyFont="1" applyFill="1" applyBorder="1" applyAlignment="1">
      <alignment horizontal="left"/>
    </xf>
    <xf numFmtId="0" fontId="0" fillId="34" borderId="9" xfId="0" applyFill="1" applyBorder="1"/>
    <xf numFmtId="0" fontId="67" fillId="34" borderId="7" xfId="0" applyFont="1" applyFill="1" applyBorder="1"/>
    <xf numFmtId="0" fontId="0" fillId="34" borderId="12" xfId="0" applyFill="1" applyBorder="1"/>
    <xf numFmtId="0" fontId="0" fillId="34" borderId="60" xfId="0" applyFill="1" applyBorder="1"/>
    <xf numFmtId="0" fontId="29" fillId="14" borderId="32" xfId="0" applyFont="1" applyFill="1" applyBorder="1"/>
    <xf numFmtId="0" fontId="73" fillId="14" borderId="32" xfId="0" applyFont="1" applyFill="1" applyBorder="1"/>
    <xf numFmtId="0" fontId="73" fillId="11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2" borderId="15" xfId="0" applyFont="1" applyFill="1" applyBorder="1"/>
    <xf numFmtId="0" fontId="117" fillId="0" borderId="9" xfId="0" applyFont="1" applyBorder="1"/>
    <xf numFmtId="0" fontId="0" fillId="32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73" fillId="0" borderId="6" xfId="0" applyFont="1" applyBorder="1"/>
    <xf numFmtId="49" fontId="73" fillId="0" borderId="0" xfId="0" applyNumberFormat="1" applyFont="1" applyBorder="1" applyAlignment="1">
      <alignment horizontal="right"/>
    </xf>
    <xf numFmtId="0" fontId="25" fillId="14" borderId="2" xfId="0" applyFont="1" applyFill="1" applyBorder="1" applyAlignment="1">
      <alignment horizontal="right"/>
    </xf>
    <xf numFmtId="0" fontId="3" fillId="19" borderId="13" xfId="0" applyFont="1" applyFill="1" applyBorder="1"/>
    <xf numFmtId="0" fontId="3" fillId="19" borderId="61" xfId="0" applyFont="1" applyFill="1" applyBorder="1"/>
    <xf numFmtId="0" fontId="31" fillId="0" borderId="19" xfId="0" applyFont="1" applyBorder="1"/>
    <xf numFmtId="0" fontId="27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69" fillId="0" borderId="12" xfId="0" applyFont="1" applyBorder="1"/>
    <xf numFmtId="0" fontId="27" fillId="14" borderId="0" xfId="0" applyFont="1" applyFill="1" applyAlignment="1">
      <alignment horizontal="left"/>
    </xf>
    <xf numFmtId="0" fontId="0" fillId="14" borderId="0" xfId="0" applyFill="1" applyAlignment="1">
      <alignment horizontal="left"/>
    </xf>
    <xf numFmtId="0" fontId="0" fillId="35" borderId="12" xfId="0" applyFill="1" applyBorder="1"/>
    <xf numFmtId="0" fontId="0" fillId="32" borderId="10" xfId="0" applyFill="1" applyBorder="1"/>
    <xf numFmtId="0" fontId="0" fillId="32" borderId="11" xfId="0" applyFill="1" applyBorder="1"/>
    <xf numFmtId="0" fontId="0" fillId="32" borderId="16" xfId="0" applyFill="1" applyBorder="1"/>
    <xf numFmtId="0" fontId="0" fillId="32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1" borderId="69" xfId="0" applyFill="1" applyBorder="1"/>
    <xf numFmtId="0" fontId="0" fillId="21" borderId="67" xfId="0" applyFill="1" applyBorder="1"/>
    <xf numFmtId="2" fontId="0" fillId="21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1" borderId="7" xfId="0" applyNumberFormat="1" applyFont="1" applyFill="1" applyBorder="1" applyAlignment="1">
      <alignment horizontal="left"/>
    </xf>
    <xf numFmtId="0" fontId="40" fillId="21" borderId="7" xfId="0" applyNumberFormat="1" applyFont="1" applyFill="1" applyBorder="1"/>
    <xf numFmtId="0" fontId="85" fillId="21" borderId="7" xfId="0" applyNumberFormat="1" applyFont="1" applyFill="1" applyBorder="1"/>
    <xf numFmtId="0" fontId="85" fillId="21" borderId="7" xfId="0" applyNumberFormat="1" applyFont="1" applyFill="1" applyBorder="1" applyAlignment="1">
      <alignment horizontal="right"/>
    </xf>
    <xf numFmtId="0" fontId="25" fillId="28" borderId="8" xfId="0" applyFont="1" applyFill="1" applyBorder="1"/>
    <xf numFmtId="0" fontId="106" fillId="0" borderId="18" xfId="0" applyFont="1" applyBorder="1"/>
    <xf numFmtId="0" fontId="43" fillId="19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3" borderId="7" xfId="0" applyFill="1" applyBorder="1"/>
    <xf numFmtId="0" fontId="0" fillId="23" borderId="18" xfId="0" applyFill="1" applyBorder="1"/>
    <xf numFmtId="0" fontId="0" fillId="23" borderId="12" xfId="0" applyFill="1" applyBorder="1"/>
    <xf numFmtId="0" fontId="0" fillId="23" borderId="26" xfId="0" applyFill="1" applyBorder="1"/>
    <xf numFmtId="0" fontId="0" fillId="14" borderId="2" xfId="0" applyFill="1" applyBorder="1"/>
    <xf numFmtId="0" fontId="0" fillId="14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4" borderId="66" xfId="0" applyFill="1" applyBorder="1" applyAlignment="1">
      <alignment horizontal="center"/>
    </xf>
    <xf numFmtId="0" fontId="6" fillId="32" borderId="28" xfId="0" applyFont="1" applyFill="1" applyBorder="1" applyAlignment="1">
      <alignment horizontal="center" vertical="center"/>
    </xf>
    <xf numFmtId="0" fontId="6" fillId="32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7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2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5" borderId="5" xfId="0" applyFill="1" applyBorder="1"/>
    <xf numFmtId="0" fontId="0" fillId="23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3" borderId="2" xfId="0" applyFill="1" applyBorder="1"/>
    <xf numFmtId="0" fontId="0" fillId="23" borderId="3" xfId="0" applyFill="1" applyBorder="1"/>
    <xf numFmtId="0" fontId="0" fillId="34" borderId="37" xfId="0" applyFill="1" applyBorder="1" applyAlignment="1">
      <alignment horizontal="left"/>
    </xf>
    <xf numFmtId="0" fontId="121" fillId="14" borderId="2" xfId="2" applyFont="1" applyFill="1" applyBorder="1" applyAlignment="1"/>
    <xf numFmtId="0" fontId="79" fillId="14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2" borderId="40" xfId="0" applyFill="1" applyBorder="1"/>
    <xf numFmtId="0" fontId="0" fillId="32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73" fillId="0" borderId="0" xfId="0" applyNumberFormat="1" applyFont="1"/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3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4" borderId="3" xfId="0" applyFill="1" applyBorder="1"/>
    <xf numFmtId="0" fontId="0" fillId="23" borderId="6" xfId="0" applyFill="1" applyBorder="1"/>
    <xf numFmtId="0" fontId="6" fillId="23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3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5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2" borderId="5" xfId="0" applyFill="1" applyBorder="1"/>
    <xf numFmtId="0" fontId="0" fillId="37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3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8" borderId="2" xfId="0" applyFill="1" applyBorder="1"/>
    <xf numFmtId="0" fontId="0" fillId="38" borderId="3" xfId="0" applyFill="1" applyBorder="1"/>
    <xf numFmtId="0" fontId="0" fillId="38" borderId="6" xfId="0" applyFill="1" applyBorder="1"/>
    <xf numFmtId="0" fontId="0" fillId="29" borderId="7" xfId="0" applyFill="1" applyBorder="1"/>
    <xf numFmtId="0" fontId="0" fillId="29" borderId="0" xfId="0" applyFill="1" applyBorder="1"/>
    <xf numFmtId="0" fontId="0" fillId="29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40" borderId="7" xfId="0" applyFill="1" applyBorder="1"/>
    <xf numFmtId="0" fontId="0" fillId="40" borderId="0" xfId="0" applyFill="1" applyBorder="1"/>
    <xf numFmtId="0" fontId="0" fillId="40" borderId="26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7" xfId="0" applyFill="1" applyBorder="1"/>
    <xf numFmtId="0" fontId="0" fillId="29" borderId="15" xfId="0" applyFill="1" applyBorder="1"/>
    <xf numFmtId="0" fontId="0" fillId="29" borderId="8" xfId="0" applyFill="1" applyBorder="1"/>
    <xf numFmtId="0" fontId="0" fillId="29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1" borderId="0" xfId="0" applyFill="1"/>
    <xf numFmtId="0" fontId="76" fillId="21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8" fillId="0" borderId="0" xfId="0" applyFont="1"/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9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9" borderId="16" xfId="0" applyFont="1" applyFill="1" applyBorder="1"/>
    <xf numFmtId="0" fontId="43" fillId="19" borderId="10" xfId="0" applyFont="1" applyFill="1" applyBorder="1"/>
    <xf numFmtId="0" fontId="7" fillId="0" borderId="0" xfId="0" applyFont="1" applyBorder="1" applyAlignment="1">
      <alignment horizontal="center"/>
    </xf>
    <xf numFmtId="0" fontId="106" fillId="19" borderId="2" xfId="0" applyFont="1" applyFill="1" applyBorder="1"/>
    <xf numFmtId="0" fontId="0" fillId="15" borderId="11" xfId="0" applyFill="1" applyBorder="1"/>
    <xf numFmtId="0" fontId="111" fillId="0" borderId="0" xfId="0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3" borderId="8" xfId="0" applyFill="1" applyBorder="1"/>
    <xf numFmtId="0" fontId="0" fillId="23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1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1" borderId="10" xfId="0" applyFont="1" applyFill="1" applyBorder="1"/>
    <xf numFmtId="0" fontId="0" fillId="0" borderId="11" xfId="0" applyBorder="1"/>
    <xf numFmtId="0" fontId="57" fillId="31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4" borderId="5" xfId="0" applyFont="1" applyFill="1" applyBorder="1" applyAlignment="1"/>
    <xf numFmtId="0" fontId="70" fillId="22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9" borderId="7" xfId="0" applyFont="1" applyFill="1" applyBorder="1" applyAlignment="1">
      <alignment horizontal="center"/>
    </xf>
    <xf numFmtId="0" fontId="0" fillId="22" borderId="13" xfId="0" applyFill="1" applyBorder="1" applyAlignment="1">
      <alignment horizontal="right"/>
    </xf>
    <xf numFmtId="0" fontId="0" fillId="25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9" borderId="2" xfId="0" applyFill="1" applyBorder="1"/>
    <xf numFmtId="0" fontId="0" fillId="39" borderId="4" xfId="0" applyFill="1" applyBorder="1"/>
    <xf numFmtId="2" fontId="37" fillId="19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7" borderId="28" xfId="0" applyFont="1" applyFill="1" applyBorder="1" applyAlignment="1">
      <alignment horizontal="left"/>
    </xf>
    <xf numFmtId="0" fontId="83" fillId="37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7" borderId="38" xfId="0" applyFont="1" applyFill="1" applyBorder="1" applyAlignment="1">
      <alignment horizontal="left"/>
    </xf>
    <xf numFmtId="0" fontId="83" fillId="37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7" borderId="28" xfId="0" applyFont="1" applyFill="1" applyBorder="1" applyAlignment="1">
      <alignment horizontal="right"/>
    </xf>
    <xf numFmtId="0" fontId="86" fillId="37" borderId="27" xfId="0" applyFont="1" applyFill="1" applyBorder="1" applyAlignment="1">
      <alignment horizontal="right"/>
    </xf>
    <xf numFmtId="0" fontId="85" fillId="37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7" borderId="38" xfId="0" applyFont="1" applyFill="1" applyBorder="1" applyAlignment="1">
      <alignment horizontal="left"/>
    </xf>
    <xf numFmtId="0" fontId="85" fillId="37" borderId="42" xfId="0" applyFont="1" applyFill="1" applyBorder="1" applyAlignment="1">
      <alignment horizontal="left"/>
    </xf>
    <xf numFmtId="0" fontId="86" fillId="37" borderId="39" xfId="0" applyFont="1" applyFill="1" applyBorder="1"/>
    <xf numFmtId="0" fontId="86" fillId="37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2" borderId="15" xfId="0" applyFont="1" applyFill="1" applyBorder="1"/>
    <xf numFmtId="0" fontId="85" fillId="32" borderId="8" xfId="0" applyFont="1" applyFill="1" applyBorder="1"/>
    <xf numFmtId="0" fontId="85" fillId="32" borderId="7" xfId="0" applyFont="1" applyFill="1" applyBorder="1"/>
    <xf numFmtId="0" fontId="85" fillId="32" borderId="0" xfId="0" applyFont="1" applyFill="1" applyBorder="1"/>
    <xf numFmtId="0" fontId="40" fillId="32" borderId="7" xfId="0" applyFont="1" applyFill="1" applyBorder="1" applyAlignment="1">
      <alignment horizontal="left"/>
    </xf>
    <xf numFmtId="0" fontId="40" fillId="32" borderId="0" xfId="0" applyFont="1" applyFill="1" applyBorder="1"/>
    <xf numFmtId="0" fontId="85" fillId="32" borderId="8" xfId="0" applyFont="1" applyFill="1" applyBorder="1" applyAlignment="1">
      <alignment horizontal="left"/>
    </xf>
    <xf numFmtId="0" fontId="86" fillId="32" borderId="0" xfId="0" applyFont="1" applyFill="1" applyBorder="1"/>
    <xf numFmtId="2" fontId="86" fillId="32" borderId="19" xfId="0" applyNumberFormat="1" applyFont="1" applyFill="1" applyBorder="1"/>
    <xf numFmtId="0" fontId="85" fillId="32" borderId="12" xfId="0" applyNumberFormat="1" applyFont="1" applyFill="1" applyBorder="1" applyAlignment="1">
      <alignment horizontal="right"/>
    </xf>
    <xf numFmtId="0" fontId="40" fillId="32" borderId="12" xfId="0" applyFont="1" applyFill="1" applyBorder="1"/>
    <xf numFmtId="0" fontId="85" fillId="32" borderId="13" xfId="0" applyFont="1" applyFill="1" applyBorder="1"/>
    <xf numFmtId="0" fontId="85" fillId="32" borderId="14" xfId="0" applyFont="1" applyFill="1" applyBorder="1"/>
    <xf numFmtId="2" fontId="86" fillId="32" borderId="16" xfId="0" applyNumberFormat="1" applyFont="1" applyFill="1" applyBorder="1"/>
    <xf numFmtId="2" fontId="86" fillId="32" borderId="17" xfId="0" applyNumberFormat="1" applyFont="1" applyFill="1" applyBorder="1"/>
    <xf numFmtId="0" fontId="85" fillId="32" borderId="12" xfId="0" applyFont="1" applyFill="1" applyBorder="1" applyAlignment="1">
      <alignment horizontal="right"/>
    </xf>
    <xf numFmtId="0" fontId="85" fillId="32" borderId="12" xfId="0" applyFont="1" applyFill="1" applyBorder="1"/>
    <xf numFmtId="2" fontId="86" fillId="32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0" fontId="0" fillId="0" borderId="26" xfId="0" applyFill="1" applyBorder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6" borderId="13" xfId="0" applyFont="1" applyFill="1" applyBorder="1" applyAlignment="1">
      <alignment horizontal="left"/>
    </xf>
    <xf numFmtId="0" fontId="0" fillId="36" borderId="14" xfId="0" applyFill="1" applyBorder="1"/>
    <xf numFmtId="167" fontId="83" fillId="14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1" borderId="27" xfId="0" applyFont="1" applyFill="1" applyBorder="1"/>
    <xf numFmtId="2" fontId="0" fillId="32" borderId="20" xfId="0" applyNumberFormat="1" applyFill="1" applyBorder="1"/>
    <xf numFmtId="0" fontId="78" fillId="32" borderId="41" xfId="0" applyFont="1" applyFill="1" applyBorder="1"/>
    <xf numFmtId="0" fontId="0" fillId="32" borderId="14" xfId="0" applyFill="1" applyBorder="1"/>
    <xf numFmtId="0" fontId="0" fillId="37" borderId="77" xfId="0" applyFill="1" applyBorder="1"/>
    <xf numFmtId="0" fontId="0" fillId="32" borderId="71" xfId="0" applyFill="1" applyBorder="1"/>
    <xf numFmtId="0" fontId="0" fillId="32" borderId="49" xfId="0" applyFill="1" applyBorder="1"/>
    <xf numFmtId="0" fontId="0" fillId="32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2" borderId="14" xfId="0" applyFont="1" applyFill="1" applyBorder="1" applyAlignment="1">
      <alignment horizontal="right"/>
    </xf>
    <xf numFmtId="0" fontId="85" fillId="32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2" fillId="0" borderId="0" xfId="0" applyFont="1" applyBorder="1"/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106" fillId="18" borderId="15" xfId="0" applyFont="1" applyFill="1" applyBorder="1" applyAlignment="1">
      <alignment horizontal="left"/>
    </xf>
    <xf numFmtId="0" fontId="106" fillId="18" borderId="36" xfId="0" applyFont="1" applyFill="1" applyBorder="1" applyAlignment="1">
      <alignment horizontal="left"/>
    </xf>
    <xf numFmtId="0" fontId="106" fillId="18" borderId="7" xfId="0" applyFont="1" applyFill="1" applyBorder="1" applyAlignment="1">
      <alignment horizontal="left"/>
    </xf>
    <xf numFmtId="0" fontId="106" fillId="18" borderId="31" xfId="0" applyFont="1" applyFill="1" applyBorder="1" applyAlignment="1">
      <alignment horizontal="left"/>
    </xf>
    <xf numFmtId="0" fontId="106" fillId="18" borderId="18" xfId="0" applyFont="1" applyFill="1" applyBorder="1" applyAlignment="1">
      <alignment horizontal="left"/>
    </xf>
    <xf numFmtId="0" fontId="106" fillId="18" borderId="73" xfId="0" applyFont="1" applyFill="1" applyBorder="1" applyAlignment="1">
      <alignment horizontal="left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126" fillId="28" borderId="2" xfId="2" applyFont="1" applyFill="1" applyBorder="1" applyAlignment="1">
      <alignment horizontal="center"/>
    </xf>
    <xf numFmtId="0" fontId="126" fillId="28" borderId="4" xfId="2" applyFont="1" applyFill="1" applyBorder="1" applyAlignment="1">
      <alignment horizontal="center"/>
    </xf>
    <xf numFmtId="0" fontId="5" fillId="17" borderId="15" xfId="0" applyFont="1" applyFill="1" applyBorder="1" applyAlignment="1">
      <alignment horizontal="left"/>
    </xf>
    <xf numFmtId="0" fontId="5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3" fillId="14" borderId="3" xfId="0" applyFont="1" applyFill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0" fontId="20" fillId="3" borderId="5" xfId="0" applyFont="1" applyFill="1" applyBorder="1" applyAlignment="1">
      <alignment horizontal="left"/>
    </xf>
    <xf numFmtId="0" fontId="26" fillId="10" borderId="32" xfId="0" applyFont="1" applyFill="1" applyBorder="1" applyAlignment="1">
      <alignment horizontal="left"/>
    </xf>
    <xf numFmtId="0" fontId="26" fillId="10" borderId="29" xfId="0" applyFont="1" applyFill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0" fontId="0" fillId="37" borderId="32" xfId="0" applyFill="1" applyBorder="1" applyAlignment="1">
      <alignment horizontal="center"/>
    </xf>
    <xf numFmtId="0" fontId="0" fillId="37" borderId="29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3" borderId="7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20" fillId="14" borderId="10" xfId="0" applyFont="1" applyFill="1" applyBorder="1" applyAlignment="1">
      <alignment horizontal="center"/>
    </xf>
    <xf numFmtId="0" fontId="20" fillId="14" borderId="22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/>
    </xf>
    <xf numFmtId="0" fontId="22" fillId="23" borderId="13" xfId="0" applyFont="1" applyFill="1" applyBorder="1" applyAlignment="1">
      <alignment horizontal="center"/>
    </xf>
    <xf numFmtId="0" fontId="22" fillId="23" borderId="5" xfId="0" applyFont="1" applyFill="1" applyBorder="1" applyAlignment="1">
      <alignment horizontal="center"/>
    </xf>
    <xf numFmtId="0" fontId="22" fillId="23" borderId="16" xfId="0" applyFont="1" applyFill="1" applyBorder="1" applyAlignment="1">
      <alignment horizontal="center"/>
    </xf>
    <xf numFmtId="0" fontId="22" fillId="23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8" borderId="15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0" fillId="32" borderId="5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37" borderId="5" xfId="0" applyFill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0" fillId="32" borderId="75" xfId="0" applyFill="1" applyBorder="1" applyAlignment="1">
      <alignment horizontal="left"/>
    </xf>
    <xf numFmtId="0" fontId="0" fillId="32" borderId="29" xfId="0" applyFill="1" applyBorder="1" applyAlignment="1">
      <alignment horizontal="left"/>
    </xf>
    <xf numFmtId="0" fontId="79" fillId="0" borderId="0" xfId="2" applyFont="1" applyAlignment="1">
      <alignment horizontal="left"/>
    </xf>
    <xf numFmtId="0" fontId="72" fillId="0" borderId="3" xfId="0" applyFont="1" applyBorder="1" applyAlignment="1">
      <alignment horizontal="center"/>
    </xf>
    <xf numFmtId="0" fontId="0" fillId="37" borderId="65" xfId="0" applyFill="1" applyBorder="1" applyAlignment="1">
      <alignment horizontal="center"/>
    </xf>
    <xf numFmtId="0" fontId="0" fillId="37" borderId="53" xfId="0" applyFill="1" applyBorder="1" applyAlignment="1">
      <alignment horizontal="center"/>
    </xf>
    <xf numFmtId="0" fontId="0" fillId="37" borderId="76" xfId="0" applyFill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7" borderId="3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2" borderId="32" xfId="0" applyFill="1" applyBorder="1" applyAlignment="1">
      <alignment horizontal="left"/>
    </xf>
    <xf numFmtId="0" fontId="85" fillId="32" borderId="18" xfId="0" applyFont="1" applyFill="1" applyBorder="1" applyAlignment="1">
      <alignment horizontal="center"/>
    </xf>
    <xf numFmtId="0" fontId="85" fillId="32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15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25" fillId="26" borderId="5" xfId="0" applyFont="1" applyFill="1" applyBorder="1" applyAlignment="1">
      <alignment horizontal="center"/>
    </xf>
    <xf numFmtId="0" fontId="0" fillId="26" borderId="2" xfId="0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57" fillId="31" borderId="0" xfId="0" applyFont="1" applyFill="1" applyBorder="1" applyAlignment="1">
      <alignment horizontal="center"/>
    </xf>
    <xf numFmtId="0" fontId="0" fillId="0" borderId="0" xfId="0"/>
    <xf numFmtId="0" fontId="8" fillId="0" borderId="9" xfId="0" applyFont="1" applyBorder="1" applyAlignment="1" applyProtection="1">
      <alignment horizontal="right"/>
      <protection locked="0"/>
    </xf>
    <xf numFmtId="0" fontId="133" fillId="0" borderId="0" xfId="0" applyFont="1" applyBorder="1"/>
    <xf numFmtId="0" fontId="73" fillId="0" borderId="12" xfId="0" quotePrefix="1" applyFont="1" applyBorder="1"/>
    <xf numFmtId="0" fontId="57" fillId="31" borderId="61" xfId="0" applyFont="1" applyFill="1" applyBorder="1"/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73" fillId="0" borderId="29" xfId="0" applyFont="1" applyBorder="1"/>
    <xf numFmtId="0" fontId="73" fillId="0" borderId="49" xfId="0" applyFont="1" applyBorder="1"/>
    <xf numFmtId="0" fontId="73" fillId="14" borderId="33" xfId="0" applyFont="1" applyFill="1" applyBorder="1"/>
    <xf numFmtId="0" fontId="73" fillId="14" borderId="9" xfId="0" applyFont="1" applyFill="1" applyBorder="1"/>
    <xf numFmtId="0" fontId="134" fillId="0" borderId="0" xfId="0" applyFont="1" applyBorder="1"/>
    <xf numFmtId="0" fontId="135" fillId="0" borderId="0" xfId="0" applyFont="1" applyBorder="1" applyAlignment="1">
      <alignment horizontal="left"/>
    </xf>
    <xf numFmtId="0" fontId="134" fillId="0" borderId="0" xfId="0" applyFont="1" applyBorder="1" applyAlignment="1">
      <alignment horizontal="left"/>
    </xf>
    <xf numFmtId="0" fontId="134" fillId="0" borderId="0" xfId="0" applyFont="1"/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75" xfId="0" applyFont="1" applyBorder="1"/>
    <xf numFmtId="0" fontId="73" fillId="0" borderId="71" xfId="0" applyFont="1" applyBorder="1"/>
    <xf numFmtId="49" fontId="73" fillId="0" borderId="0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4" xfId="0" applyFont="1" applyBorder="1" applyAlignment="1">
      <alignment horizont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C6114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R$156" lockText="1" noThreeD="1"/>
</file>

<file path=xl/ctrlProps/ctrlProp6.xml><?xml version="1.0" encoding="utf-8"?>
<formControlPr xmlns="http://schemas.microsoft.com/office/spreadsheetml/2009/9/main" objectType="CheckBox" checked="Checked" fmlaLink="Данные!$B$38" lockText="1" noThreeD="1"/>
</file>

<file path=xl/ctrlProps/ctrlProp7.xml><?xml version="1.0" encoding="utf-8"?>
<formControlPr xmlns="http://schemas.microsoft.com/office/spreadsheetml/2009/9/main" objectType="CheckBox" checked="Checked" fmlaLink="Данные!$B$41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587828</xdr:colOff>
      <xdr:row>23</xdr:row>
      <xdr:rowOff>53640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738239" y="5128372"/>
          <a:ext cx="1793090" cy="591683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23</xdr:row>
      <xdr:rowOff>21066</xdr:rowOff>
    </xdr:from>
    <xdr:to>
      <xdr:col>4</xdr:col>
      <xdr:colOff>532395</xdr:colOff>
      <xdr:row>23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259080</xdr:colOff>
          <xdr:row>26</xdr:row>
          <xdr:rowOff>198120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27</xdr:row>
          <xdr:rowOff>198120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32</xdr:row>
      <xdr:rowOff>170330</xdr:rowOff>
    </xdr:from>
    <xdr:to>
      <xdr:col>3</xdr:col>
      <xdr:colOff>295841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055914" y="6320759"/>
          <a:ext cx="578870" cy="3412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24</xdr:row>
      <xdr:rowOff>9359</xdr:rowOff>
    </xdr:from>
    <xdr:to>
      <xdr:col>36</xdr:col>
      <xdr:colOff>439319</xdr:colOff>
      <xdr:row>26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29</xdr:row>
      <xdr:rowOff>9360</xdr:rowOff>
    </xdr:from>
    <xdr:to>
      <xdr:col>36</xdr:col>
      <xdr:colOff>437760</xdr:colOff>
      <xdr:row>31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23</xdr:row>
      <xdr:rowOff>53640</xdr:rowOff>
    </xdr:from>
    <xdr:to>
      <xdr:col>33</xdr:col>
      <xdr:colOff>3854</xdr:colOff>
      <xdr:row>32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27</xdr:row>
      <xdr:rowOff>9524</xdr:rowOff>
    </xdr:from>
    <xdr:to>
      <xdr:col>36</xdr:col>
      <xdr:colOff>600890</xdr:colOff>
      <xdr:row>29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662365" y="5538246"/>
          <a:ext cx="395430" cy="1627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26</xdr:row>
      <xdr:rowOff>195191</xdr:rowOff>
    </xdr:from>
    <xdr:to>
      <xdr:col>33</xdr:col>
      <xdr:colOff>0</xdr:colOff>
      <xdr:row>29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26</xdr:row>
      <xdr:rowOff>171450</xdr:rowOff>
    </xdr:from>
    <xdr:to>
      <xdr:col>32</xdr:col>
      <xdr:colOff>4764</xdr:colOff>
      <xdr:row>29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22</xdr:row>
      <xdr:rowOff>5760</xdr:rowOff>
    </xdr:from>
    <xdr:to>
      <xdr:col>36</xdr:col>
      <xdr:colOff>440280</xdr:colOff>
      <xdr:row>24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22</xdr:row>
      <xdr:rowOff>6626</xdr:rowOff>
    </xdr:from>
    <xdr:to>
      <xdr:col>36</xdr:col>
      <xdr:colOff>404192</xdr:colOff>
      <xdr:row>22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21</xdr:row>
      <xdr:rowOff>98612</xdr:rowOff>
    </xdr:from>
    <xdr:to>
      <xdr:col>32</xdr:col>
      <xdr:colOff>995</xdr:colOff>
      <xdr:row>23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24</xdr:row>
      <xdr:rowOff>2160</xdr:rowOff>
    </xdr:from>
    <xdr:to>
      <xdr:col>37</xdr:col>
      <xdr:colOff>662400</xdr:colOff>
      <xdr:row>24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607868</xdr:colOff>
      <xdr:row>25</xdr:row>
      <xdr:rowOff>36103</xdr:rowOff>
    </xdr:from>
    <xdr:to>
      <xdr:col>36</xdr:col>
      <xdr:colOff>607868</xdr:colOff>
      <xdr:row>27</xdr:row>
      <xdr:rowOff>36103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27948428" y="5043532"/>
          <a:ext cx="0" cy="40494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27</xdr:row>
      <xdr:rowOff>0</xdr:rowOff>
    </xdr:from>
    <xdr:to>
      <xdr:col>37</xdr:col>
      <xdr:colOff>108858</xdr:colOff>
      <xdr:row>27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29</xdr:row>
      <xdr:rowOff>4320</xdr:rowOff>
    </xdr:from>
    <xdr:to>
      <xdr:col>37</xdr:col>
      <xdr:colOff>112320</xdr:colOff>
      <xdr:row>29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444975</xdr:colOff>
      <xdr:row>32</xdr:row>
      <xdr:rowOff>10887</xdr:rowOff>
    </xdr:from>
    <xdr:to>
      <xdr:col>37</xdr:col>
      <xdr:colOff>598713</xdr:colOff>
      <xdr:row>32</xdr:row>
      <xdr:rowOff>11365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27779004" y="6357258"/>
          <a:ext cx="828652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27</xdr:row>
      <xdr:rowOff>7991</xdr:rowOff>
    </xdr:from>
    <xdr:to>
      <xdr:col>36</xdr:col>
      <xdr:colOff>704194</xdr:colOff>
      <xdr:row>29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24</xdr:row>
      <xdr:rowOff>15120</xdr:rowOff>
    </xdr:from>
    <xdr:to>
      <xdr:col>37</xdr:col>
      <xdr:colOff>522720</xdr:colOff>
      <xdr:row>31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616406</xdr:colOff>
      <xdr:row>26</xdr:row>
      <xdr:rowOff>90360</xdr:rowOff>
    </xdr:from>
    <xdr:to>
      <xdr:col>37</xdr:col>
      <xdr:colOff>368726</xdr:colOff>
      <xdr:row>26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27955641" y="5271960"/>
          <a:ext cx="560702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26</xdr:row>
      <xdr:rowOff>88920</xdr:rowOff>
    </xdr:from>
    <xdr:to>
      <xdr:col>36</xdr:col>
      <xdr:colOff>429480</xdr:colOff>
      <xdr:row>26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26</xdr:row>
      <xdr:rowOff>88920</xdr:rowOff>
    </xdr:from>
    <xdr:to>
      <xdr:col>36</xdr:col>
      <xdr:colOff>649356</xdr:colOff>
      <xdr:row>26</xdr:row>
      <xdr:rowOff>92765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27776635" y="5270520"/>
          <a:ext cx="211956" cy="38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23</xdr:row>
      <xdr:rowOff>34921</xdr:rowOff>
    </xdr:from>
    <xdr:to>
      <xdr:col>33</xdr:col>
      <xdr:colOff>447288</xdr:colOff>
      <xdr:row>23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310661</xdr:colOff>
      <xdr:row>23</xdr:row>
      <xdr:rowOff>35169</xdr:rowOff>
    </xdr:from>
    <xdr:to>
      <xdr:col>33</xdr:col>
      <xdr:colOff>311189</xdr:colOff>
      <xdr:row>24</xdr:row>
      <xdr:rowOff>19050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879485" y="4732675"/>
          <a:ext cx="528" cy="163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32</xdr:row>
      <xdr:rowOff>170330</xdr:rowOff>
    </xdr:from>
    <xdr:to>
      <xdr:col>32</xdr:col>
      <xdr:colOff>295841</xdr:colOff>
      <xdr:row>34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24</xdr:row>
      <xdr:rowOff>168442</xdr:rowOff>
    </xdr:from>
    <xdr:to>
      <xdr:col>36</xdr:col>
      <xdr:colOff>342719</xdr:colOff>
      <xdr:row>26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29</xdr:row>
      <xdr:rowOff>130628</xdr:rowOff>
    </xdr:from>
    <xdr:to>
      <xdr:col>36</xdr:col>
      <xdr:colOff>323641</xdr:colOff>
      <xdr:row>31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23</xdr:row>
      <xdr:rowOff>193599</xdr:rowOff>
    </xdr:from>
    <xdr:to>
      <xdr:col>32</xdr:col>
      <xdr:colOff>750515</xdr:colOff>
      <xdr:row>25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32</xdr:row>
      <xdr:rowOff>32085</xdr:rowOff>
    </xdr:from>
    <xdr:to>
      <xdr:col>32</xdr:col>
      <xdr:colOff>1171073</xdr:colOff>
      <xdr:row>32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31</xdr:row>
      <xdr:rowOff>36095</xdr:rowOff>
    </xdr:from>
    <xdr:to>
      <xdr:col>32</xdr:col>
      <xdr:colOff>1164198</xdr:colOff>
      <xdr:row>32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31</xdr:row>
      <xdr:rowOff>20054</xdr:rowOff>
    </xdr:from>
    <xdr:to>
      <xdr:col>32</xdr:col>
      <xdr:colOff>794085</xdr:colOff>
      <xdr:row>32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21</xdr:row>
      <xdr:rowOff>35859</xdr:rowOff>
    </xdr:from>
    <xdr:to>
      <xdr:col>33</xdr:col>
      <xdr:colOff>5862</xdr:colOff>
      <xdr:row>24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22</xdr:row>
      <xdr:rowOff>310</xdr:rowOff>
    </xdr:from>
    <xdr:to>
      <xdr:col>33</xdr:col>
      <xdr:colOff>0</xdr:colOff>
      <xdr:row>22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168016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28</xdr:row>
      <xdr:rowOff>2434</xdr:rowOff>
    </xdr:from>
    <xdr:to>
      <xdr:col>36</xdr:col>
      <xdr:colOff>584050</xdr:colOff>
      <xdr:row>28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43543</xdr:colOff>
      <xdr:row>32</xdr:row>
      <xdr:rowOff>10886</xdr:rowOff>
    </xdr:from>
    <xdr:to>
      <xdr:col>36</xdr:col>
      <xdr:colOff>424542</xdr:colOff>
      <xdr:row>33</xdr:row>
      <xdr:rowOff>10886</xdr:rowOff>
    </xdr:to>
    <xdr:sp macro="" textlink="">
      <xdr:nvSpPr>
        <xdr:cNvPr id="26" name="Прямоугольник 25">
          <a:extLst>
            <a:ext uri="{FF2B5EF4-FFF2-40B4-BE49-F238E27FC236}">
              <a16:creationId xmlns:a16="http://schemas.microsoft.com/office/drawing/2014/main" id="{F36A0689-B83C-4825-89FF-CC166BC5D5B5}"/>
            </a:ext>
          </a:extLst>
        </xdr:cNvPr>
        <xdr:cNvSpPr/>
      </xdr:nvSpPr>
      <xdr:spPr>
        <a:xfrm>
          <a:off x="25037143" y="6357257"/>
          <a:ext cx="2721428" cy="206829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36</xdr:col>
      <xdr:colOff>435428</xdr:colOff>
      <xdr:row>29</xdr:row>
      <xdr:rowOff>10886</xdr:rowOff>
    </xdr:from>
    <xdr:to>
      <xdr:col>36</xdr:col>
      <xdr:colOff>620485</xdr:colOff>
      <xdr:row>32</xdr:row>
      <xdr:rowOff>10886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6104DA81-F6F4-4F75-86B7-9927C08D600A}"/>
            </a:ext>
          </a:extLst>
        </xdr:cNvPr>
        <xdr:cNvSpPr/>
      </xdr:nvSpPr>
      <xdr:spPr>
        <a:xfrm>
          <a:off x="27769457" y="5758543"/>
          <a:ext cx="185057" cy="598714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17640</xdr:rowOff>
    </xdr:from>
    <xdr:to>
      <xdr:col>6</xdr:col>
      <xdr:colOff>434520</xdr:colOff>
      <xdr:row>21</xdr:row>
      <xdr:rowOff>23760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758360" y="4275315"/>
          <a:ext cx="2752860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0</xdr:rowOff>
        </xdr:from>
        <xdr:to>
          <xdr:col>14</xdr:col>
          <xdr:colOff>548640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403413</xdr:colOff>
      <xdr:row>20</xdr:row>
      <xdr:rowOff>8965</xdr:rowOff>
    </xdr:from>
    <xdr:to>
      <xdr:col>7</xdr:col>
      <xdr:colOff>412773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231342" y="3666565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573741</xdr:colOff>
      <xdr:row>25</xdr:row>
      <xdr:rowOff>142561</xdr:rowOff>
    </xdr:from>
    <xdr:to>
      <xdr:col>3</xdr:col>
      <xdr:colOff>0</xdr:colOff>
      <xdr:row>29</xdr:row>
      <xdr:rowOff>143436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9882" y="4777314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29</xdr:row>
      <xdr:rowOff>9754</xdr:rowOff>
    </xdr:from>
    <xdr:to>
      <xdr:col>7</xdr:col>
      <xdr:colOff>2817</xdr:colOff>
      <xdr:row>29</xdr:row>
      <xdr:rowOff>9754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327567" y="5415472"/>
          <a:ext cx="250317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452270</xdr:colOff>
      <xdr:row>26</xdr:row>
      <xdr:rowOff>77940</xdr:rowOff>
    </xdr:from>
    <xdr:to>
      <xdr:col>1</xdr:col>
      <xdr:colOff>453300</xdr:colOff>
      <xdr:row>29</xdr:row>
      <xdr:rowOff>53340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 flipH="1">
          <a:off x="597050" y="4969980"/>
          <a:ext cx="1030" cy="554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449580</xdr:colOff>
      <xdr:row>29</xdr:row>
      <xdr:rowOff>9754</xdr:rowOff>
    </xdr:from>
    <xdr:to>
      <xdr:col>3</xdr:col>
      <xdr:colOff>9360</xdr:colOff>
      <xdr:row>29</xdr:row>
      <xdr:rowOff>15239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 flipV="1">
          <a:off x="594360" y="5480914"/>
          <a:ext cx="618960" cy="548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28</xdr:row>
          <xdr:rowOff>15240</xdr:rowOff>
        </xdr:from>
        <xdr:to>
          <xdr:col>14</xdr:col>
          <xdr:colOff>83820</xdr:colOff>
          <xdr:row>29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26</xdr:row>
          <xdr:rowOff>175260</xdr:rowOff>
        </xdr:from>
        <xdr:to>
          <xdr:col>13</xdr:col>
          <xdr:colOff>266700</xdr:colOff>
          <xdr:row>28</xdr:row>
          <xdr:rowOff>38100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28</xdr:row>
          <xdr:rowOff>22860</xdr:rowOff>
        </xdr:from>
        <xdr:to>
          <xdr:col>13</xdr:col>
          <xdr:colOff>457200</xdr:colOff>
          <xdr:row>29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40</xdr:row>
      <xdr:rowOff>82260</xdr:rowOff>
    </xdr:from>
    <xdr:to>
      <xdr:col>14</xdr:col>
      <xdr:colOff>19050</xdr:colOff>
      <xdr:row>59</xdr:row>
      <xdr:rowOff>160566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464820</xdr:colOff>
      <xdr:row>19</xdr:row>
      <xdr:rowOff>74676</xdr:rowOff>
    </xdr:from>
    <xdr:to>
      <xdr:col>3</xdr:col>
      <xdr:colOff>0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189738" y="3999738"/>
          <a:ext cx="1434084" cy="594360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349624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C737FE97-8742-41BE-8F2E-DC6B480497CB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BE919064-1BFE-429F-8045-B6ED00362469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30C3FAC-3784-4FAB-AF8F-68C7BEDA2432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 refreshError="1"/>
      <sheetData sheetId="13" refreshError="1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86;&#1073;&#1084;&#1077;&#1085;\Scanned%20Documents\&#1051;&#1080;&#1090;&#1077;&#1081;&#1085;&#1099;&#1077;%20&#1082;&#1072;&#1088;&#1090;&#1099;\1275.03.308.jpg" TargetMode="External"/><Relationship Id="rId1" Type="http://schemas.openxmlformats.org/officeDocument/2006/relationships/hyperlink" Target="file:///\\ad\&#1086;&#1073;&#1084;&#1077;&#1085;\Scanned%20Documents\&#1063;&#1077;&#1088;&#1090;&#1077;&#1078;&#1080;\1275.03.308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79"/>
  <sheetViews>
    <sheetView tabSelected="1" zoomScale="55" zoomScaleNormal="55" workbookViewId="0">
      <selection activeCell="P14" sqref="P14"/>
    </sheetView>
  </sheetViews>
  <sheetFormatPr defaultColWidth="8.5546875" defaultRowHeight="15.6" x14ac:dyDescent="0.3"/>
  <cols>
    <col min="1" max="1" width="2.88671875" style="642" customWidth="1"/>
    <col min="2" max="2" width="5.109375" style="642" customWidth="1"/>
    <col min="3" max="3" width="8.5546875" style="642"/>
    <col min="4" max="4" width="9.33203125" style="642" customWidth="1"/>
    <col min="5" max="5" width="9.21875" style="642" customWidth="1"/>
    <col min="6" max="6" width="13.77734375" style="642" customWidth="1"/>
    <col min="7" max="7" width="12" style="642" customWidth="1"/>
    <col min="8" max="8" width="13.88671875" style="642" customWidth="1"/>
    <col min="9" max="9" width="12.21875" style="642" customWidth="1"/>
    <col min="10" max="10" width="11" style="642" customWidth="1"/>
    <col min="11" max="11" width="20.44140625" style="642" customWidth="1"/>
    <col min="12" max="12" width="3.88671875" style="642" customWidth="1"/>
    <col min="13" max="13" width="26.88671875" style="642" customWidth="1"/>
    <col min="14" max="14" width="13.33203125" style="642" customWidth="1"/>
    <col min="15" max="15" width="10.33203125" style="642" customWidth="1"/>
    <col min="16" max="16" width="11" style="642" customWidth="1"/>
    <col min="17" max="17" width="4.21875" style="642" customWidth="1"/>
    <col min="18" max="18" width="14" style="642" customWidth="1"/>
    <col min="19" max="19" width="8.6640625" style="642" customWidth="1"/>
    <col min="20" max="21" width="15.5546875" style="642" customWidth="1"/>
    <col min="22" max="22" width="8.44140625" style="642" customWidth="1"/>
    <col min="23" max="23" width="10.33203125" style="642" customWidth="1"/>
    <col min="24" max="24" width="8.5546875" style="642"/>
    <col min="25" max="25" width="11" style="642" customWidth="1"/>
    <col min="26" max="26" width="12.44140625" style="642" customWidth="1"/>
    <col min="27" max="27" width="3.21875" style="642" customWidth="1"/>
    <col min="28" max="28" width="30.5546875" style="642" customWidth="1"/>
    <col min="29" max="29" width="11.6640625" style="642" customWidth="1"/>
    <col min="30" max="30" width="3.44140625" style="642" customWidth="1"/>
    <col min="31" max="31" width="3.5546875" style="642" customWidth="1"/>
    <col min="32" max="32" width="7.5546875" style="642" customWidth="1"/>
    <col min="33" max="33" width="10.88671875" style="642" customWidth="1"/>
    <col min="34" max="34" width="7.33203125" style="642" customWidth="1"/>
    <col min="35" max="35" width="14.109375" style="642" customWidth="1"/>
    <col min="36" max="36" width="12.6640625" style="642" customWidth="1"/>
    <col min="37" max="37" width="11.77734375" style="642" customWidth="1"/>
    <col min="38" max="38" width="10.33203125" style="642" customWidth="1"/>
    <col min="39" max="39" width="10.6640625" style="642" customWidth="1"/>
    <col min="40" max="40" width="24.109375" style="642" customWidth="1"/>
    <col min="41" max="41" width="3.6640625" style="642" customWidth="1"/>
    <col min="42" max="42" width="23.5546875" style="642" customWidth="1"/>
    <col min="43" max="43" width="10.5546875" style="642" bestFit="1" customWidth="1"/>
    <col min="44" max="16384" width="8.5546875" style="642"/>
  </cols>
  <sheetData>
    <row r="1" spans="2:43" ht="16.2" thickBot="1" x14ac:dyDescent="0.35">
      <c r="K1" s="642" t="s">
        <v>409</v>
      </c>
      <c r="Z1" s="642" t="s">
        <v>409</v>
      </c>
      <c r="AN1" s="642" t="s">
        <v>409</v>
      </c>
    </row>
    <row r="2" spans="2:43" ht="16.2" thickBot="1" x14ac:dyDescent="0.35">
      <c r="B2" s="683"/>
      <c r="C2" s="685"/>
      <c r="D2" s="685"/>
      <c r="E2" s="685"/>
      <c r="F2" s="685" t="s">
        <v>0</v>
      </c>
      <c r="G2" s="685"/>
      <c r="H2" s="685"/>
      <c r="I2" s="685"/>
      <c r="J2" s="685"/>
      <c r="K2" s="684" t="s">
        <v>1124</v>
      </c>
      <c r="M2" s="850" t="s">
        <v>1</v>
      </c>
      <c r="N2" s="998"/>
      <c r="O2" s="999" t="s">
        <v>1104</v>
      </c>
      <c r="R2" s="683"/>
      <c r="S2" s="685"/>
      <c r="T2" s="685"/>
      <c r="U2" s="685" t="s">
        <v>0</v>
      </c>
      <c r="V2" s="685"/>
      <c r="W2" s="685"/>
      <c r="X2" s="685"/>
      <c r="Y2" s="685"/>
      <c r="Z2" s="684" t="s">
        <v>1124</v>
      </c>
      <c r="AE2" s="683"/>
      <c r="AF2" s="685"/>
      <c r="AG2" s="685"/>
      <c r="AH2" s="685"/>
      <c r="AI2" s="685" t="s">
        <v>0</v>
      </c>
      <c r="AJ2" s="685"/>
      <c r="AK2" s="685"/>
      <c r="AL2" s="685"/>
      <c r="AM2" s="685"/>
      <c r="AN2" s="684" t="s">
        <v>1124</v>
      </c>
      <c r="AP2" s="850" t="s">
        <v>1</v>
      </c>
    </row>
    <row r="3" spans="2:43" x14ac:dyDescent="0.3">
      <c r="B3" s="647"/>
      <c r="C3" s="641" t="s">
        <v>2</v>
      </c>
      <c r="D3" s="641"/>
      <c r="E3" s="641"/>
      <c r="F3" s="641"/>
      <c r="G3" s="881" t="s">
        <v>1290</v>
      </c>
      <c r="H3" s="641"/>
      <c r="I3" s="641"/>
      <c r="J3" s="816" t="s">
        <v>433</v>
      </c>
      <c r="K3" s="643"/>
      <c r="M3" s="815" t="s">
        <v>3</v>
      </c>
      <c r="N3" s="996">
        <f>IF(O3=0,ROUNDUP((N16+N22*2)/0.985,0),O3)</f>
        <v>323</v>
      </c>
      <c r="O3" s="858"/>
      <c r="R3" s="647"/>
      <c r="S3" s="641" t="s">
        <v>2</v>
      </c>
      <c r="T3" s="641"/>
      <c r="U3" s="641"/>
      <c r="V3" s="881" t="s">
        <v>969</v>
      </c>
      <c r="W3" s="641"/>
      <c r="X3" s="641"/>
      <c r="Y3" s="816" t="s">
        <v>660</v>
      </c>
      <c r="Z3" s="643" t="s">
        <v>379</v>
      </c>
      <c r="AE3" s="647"/>
      <c r="AF3" s="641" t="s">
        <v>2</v>
      </c>
      <c r="AG3" s="641"/>
      <c r="AH3" s="641"/>
      <c r="AI3" s="641"/>
      <c r="AJ3" s="881" t="s">
        <v>1283</v>
      </c>
      <c r="AK3" s="641"/>
      <c r="AL3" s="641"/>
      <c r="AM3" s="816" t="s">
        <v>433</v>
      </c>
      <c r="AN3" s="643"/>
      <c r="AP3" s="815" t="s">
        <v>3</v>
      </c>
      <c r="AQ3" s="642">
        <v>1935</v>
      </c>
    </row>
    <row r="4" spans="2:43" x14ac:dyDescent="0.3">
      <c r="B4" s="640"/>
      <c r="C4" s="457" t="s">
        <v>4</v>
      </c>
      <c r="D4" s="457"/>
      <c r="E4" s="457"/>
      <c r="F4" s="457"/>
      <c r="G4" s="882" t="s">
        <v>1291</v>
      </c>
      <c r="H4" s="457"/>
      <c r="I4" s="457"/>
      <c r="J4" s="457" t="s">
        <v>783</v>
      </c>
      <c r="K4" s="1752" t="s">
        <v>1294</v>
      </c>
      <c r="M4" s="815" t="s">
        <v>5</v>
      </c>
      <c r="N4" s="997">
        <f>ROUNDUP(I28/0.994,0)</f>
        <v>260</v>
      </c>
      <c r="O4" s="858"/>
      <c r="R4" s="640"/>
      <c r="S4" s="457" t="s">
        <v>4</v>
      </c>
      <c r="T4" s="457"/>
      <c r="U4" s="457"/>
      <c r="V4" s="882" t="s">
        <v>973</v>
      </c>
      <c r="W4" s="457"/>
      <c r="X4" s="457"/>
      <c r="Y4" s="852"/>
      <c r="Z4" s="644"/>
      <c r="AE4" s="640"/>
      <c r="AF4" s="457" t="s">
        <v>4</v>
      </c>
      <c r="AG4" s="457"/>
      <c r="AH4" s="457"/>
      <c r="AI4" s="457"/>
      <c r="AJ4" s="882" t="s">
        <v>1284</v>
      </c>
      <c r="AK4" s="457"/>
      <c r="AL4" s="457"/>
      <c r="AM4" s="457" t="s">
        <v>783</v>
      </c>
      <c r="AN4" s="1023" t="s">
        <v>1288</v>
      </c>
      <c r="AP4" s="815" t="s">
        <v>5</v>
      </c>
      <c r="AQ4" s="642">
        <v>1578</v>
      </c>
    </row>
    <row r="5" spans="2:43" x14ac:dyDescent="0.3">
      <c r="B5" s="640"/>
      <c r="C5" s="457" t="s">
        <v>6</v>
      </c>
      <c r="D5" s="457"/>
      <c r="E5" s="457"/>
      <c r="F5" s="457"/>
      <c r="G5" s="657" t="s">
        <v>1292</v>
      </c>
      <c r="H5" s="457"/>
      <c r="I5" s="457"/>
      <c r="J5" s="713" t="s">
        <v>941</v>
      </c>
      <c r="K5" s="817" t="str">
        <f>" Ø = "&amp;N4&amp;" мм., "</f>
        <v xml:space="preserve"> Ø = 260 мм., </v>
      </c>
      <c r="M5" s="815" t="s">
        <v>8</v>
      </c>
      <c r="N5" s="996">
        <f>ROUNDUP((N18+N23+N22+N25+N26)/0.985,0)</f>
        <v>464</v>
      </c>
      <c r="O5" s="858"/>
      <c r="R5" s="640"/>
      <c r="S5" s="457" t="s">
        <v>6</v>
      </c>
      <c r="T5" s="457"/>
      <c r="U5" s="457"/>
      <c r="V5" s="657" t="s">
        <v>972</v>
      </c>
      <c r="W5" s="457"/>
      <c r="X5" s="457"/>
      <c r="Y5" s="713"/>
      <c r="Z5" s="644"/>
      <c r="AE5" s="640"/>
      <c r="AF5" s="457" t="s">
        <v>6</v>
      </c>
      <c r="AG5" s="457"/>
      <c r="AH5" s="457"/>
      <c r="AI5" s="457"/>
      <c r="AJ5" s="657" t="s">
        <v>1134</v>
      </c>
      <c r="AK5" s="457"/>
      <c r="AL5" s="457"/>
      <c r="AM5" s="713" t="s">
        <v>941</v>
      </c>
      <c r="AN5" s="817" t="str">
        <f>" Ø = "&amp;AQ4&amp;" мм., "</f>
        <v xml:space="preserve"> Ø = 1578 мм., </v>
      </c>
      <c r="AP5" s="815" t="s">
        <v>8</v>
      </c>
      <c r="AQ5" s="642">
        <v>300</v>
      </c>
    </row>
    <row r="6" spans="2:43" ht="15" customHeight="1" thickBot="1" x14ac:dyDescent="0.35">
      <c r="B6" s="658"/>
      <c r="C6" s="659" t="s">
        <v>10</v>
      </c>
      <c r="D6" s="659"/>
      <c r="E6" s="659"/>
      <c r="F6" s="659"/>
      <c r="G6" s="883" t="s">
        <v>1293</v>
      </c>
      <c r="H6" s="659"/>
      <c r="I6" s="659"/>
      <c r="J6" s="820"/>
      <c r="K6" s="853" t="str">
        <f>"Н = "&amp;N8+(F22+15)+H26</f>
        <v>Н = 648</v>
      </c>
      <c r="M6" s="818" t="s">
        <v>12</v>
      </c>
      <c r="N6" s="819">
        <f>VLOOKUP(G8,Данные!A3:I27,9,FALSE())</f>
        <v>7.5</v>
      </c>
      <c r="R6" s="658"/>
      <c r="S6" s="659" t="s">
        <v>10</v>
      </c>
      <c r="T6" s="659"/>
      <c r="U6" s="659"/>
      <c r="V6" s="883" t="s">
        <v>820</v>
      </c>
      <c r="W6" s="659"/>
      <c r="X6" s="659"/>
      <c r="Y6" s="820"/>
      <c r="Z6" s="687"/>
      <c r="AE6" s="658"/>
      <c r="AF6" s="659" t="s">
        <v>10</v>
      </c>
      <c r="AG6" s="659"/>
      <c r="AH6" s="659"/>
      <c r="AI6" s="659"/>
      <c r="AJ6" s="883" t="s">
        <v>820</v>
      </c>
      <c r="AK6" s="659"/>
      <c r="AL6" s="659"/>
      <c r="AM6" s="820"/>
      <c r="AN6" s="853" t="str">
        <f>"Н = "&amp;AQ7+(AI22)+AL26</f>
        <v>Н = 570</v>
      </c>
      <c r="AP6" s="818" t="s">
        <v>12</v>
      </c>
      <c r="AQ6" s="642">
        <f>VLOOKUP(AJ8,Данные!A3:I27,9,FALSE())</f>
        <v>7.5</v>
      </c>
    </row>
    <row r="7" spans="2:43" x14ac:dyDescent="0.3">
      <c r="B7" s="640"/>
      <c r="C7" s="457"/>
      <c r="D7" s="457"/>
      <c r="E7" s="457"/>
      <c r="F7" s="457"/>
      <c r="G7" s="657"/>
      <c r="H7" s="457"/>
      <c r="I7" s="457"/>
      <c r="J7" s="457"/>
      <c r="K7" s="644"/>
      <c r="M7" s="821" t="s">
        <v>875</v>
      </c>
      <c r="N7" s="1020">
        <f>CEILING(((J28+Данные!F32*2)-I28)/2,1)</f>
        <v>35</v>
      </c>
      <c r="R7" s="647"/>
      <c r="S7" s="641"/>
      <c r="T7" s="641"/>
      <c r="U7" s="641"/>
      <c r="V7" s="881"/>
      <c r="W7" s="641"/>
      <c r="X7" s="641"/>
      <c r="Y7" s="641"/>
      <c r="Z7" s="648"/>
      <c r="AE7" s="640"/>
      <c r="AF7" s="457"/>
      <c r="AG7" s="457"/>
      <c r="AH7" s="457"/>
      <c r="AI7" s="457"/>
      <c r="AJ7" s="457"/>
      <c r="AK7" s="457"/>
      <c r="AL7" s="457"/>
      <c r="AM7" s="457"/>
      <c r="AN7" s="644"/>
      <c r="AP7" s="821" t="s">
        <v>14</v>
      </c>
      <c r="AQ7" s="642">
        <v>150</v>
      </c>
    </row>
    <row r="8" spans="2:43" x14ac:dyDescent="0.3">
      <c r="B8" s="640"/>
      <c r="C8" s="457" t="s">
        <v>16</v>
      </c>
      <c r="D8" s="457"/>
      <c r="E8" s="457"/>
      <c r="F8" s="457"/>
      <c r="G8" s="825" t="s">
        <v>37</v>
      </c>
      <c r="H8" s="649"/>
      <c r="I8" s="649"/>
      <c r="J8" s="657" t="s">
        <v>17</v>
      </c>
      <c r="K8" s="650">
        <f>G9/G14</f>
        <v>0.15170454545454548</v>
      </c>
      <c r="M8" s="821" t="s">
        <v>14</v>
      </c>
      <c r="N8" s="1011">
        <f>CEILING(((J28+Данные!F32*2)-I28)/2*N9,5)</f>
        <v>95</v>
      </c>
      <c r="O8" s="858"/>
      <c r="R8" s="640"/>
      <c r="S8" s="457" t="s">
        <v>16</v>
      </c>
      <c r="T8" s="457"/>
      <c r="U8" s="457"/>
      <c r="V8" s="678" t="s">
        <v>974</v>
      </c>
      <c r="W8" s="457"/>
      <c r="X8" s="457"/>
      <c r="Y8" s="457" t="s">
        <v>17</v>
      </c>
      <c r="Z8" s="650">
        <f>V9/V13</f>
        <v>0.17534246575342466</v>
      </c>
      <c r="AE8" s="640"/>
      <c r="AF8" s="457" t="s">
        <v>16</v>
      </c>
      <c r="AG8" s="457"/>
      <c r="AH8" s="457"/>
      <c r="AI8" s="457"/>
      <c r="AJ8" s="825" t="s">
        <v>37</v>
      </c>
      <c r="AK8" s="649"/>
      <c r="AL8" s="649"/>
      <c r="AM8" s="657" t="s">
        <v>17</v>
      </c>
      <c r="AN8" s="650">
        <f>AJ9/AJ14</f>
        <v>0.36492307692307691</v>
      </c>
      <c r="AP8" s="821" t="s">
        <v>459</v>
      </c>
    </row>
    <row r="9" spans="2:43" x14ac:dyDescent="0.3">
      <c r="B9" s="640"/>
      <c r="C9" s="457" t="s">
        <v>19</v>
      </c>
      <c r="D9" s="457"/>
      <c r="E9" s="457"/>
      <c r="F9" s="457"/>
      <c r="G9" s="651">
        <f>IF(N20&lt;&gt;0,N20,IF(N19&lt;100,ROUNDUP(N19,1),ROUNDUP(N19,0)))</f>
        <v>26.700000000000003</v>
      </c>
      <c r="H9" s="827"/>
      <c r="I9" s="828"/>
      <c r="J9" s="657"/>
      <c r="K9" s="650"/>
      <c r="M9" s="821" t="s">
        <v>459</v>
      </c>
      <c r="N9" s="823">
        <v>2.7</v>
      </c>
      <c r="R9" s="640"/>
      <c r="S9" s="457" t="s">
        <v>19</v>
      </c>
      <c r="T9" s="457"/>
      <c r="U9" s="457"/>
      <c r="V9" s="651">
        <f>IF(AC28=0,AC27,AC28)</f>
        <v>256</v>
      </c>
      <c r="W9" s="652"/>
      <c r="X9" s="457"/>
      <c r="Y9" s="457"/>
      <c r="Z9" s="650"/>
      <c r="AE9" s="640"/>
      <c r="AF9" s="457" t="s">
        <v>19</v>
      </c>
      <c r="AG9" s="457"/>
      <c r="AH9" s="457"/>
      <c r="AI9" s="457"/>
      <c r="AJ9" s="651">
        <v>1186</v>
      </c>
      <c r="AK9" s="827"/>
      <c r="AL9" s="828"/>
      <c r="AM9" s="657"/>
      <c r="AN9" s="650"/>
      <c r="AP9" s="815" t="s">
        <v>358</v>
      </c>
      <c r="AQ9" s="642">
        <v>521.5</v>
      </c>
    </row>
    <row r="10" spans="2:43" x14ac:dyDescent="0.3">
      <c r="B10" s="640"/>
      <c r="C10" s="457" t="s">
        <v>22</v>
      </c>
      <c r="D10" s="457"/>
      <c r="E10" s="457"/>
      <c r="F10" s="457"/>
      <c r="G10" s="653">
        <f>ROUNDUP(N11,0)</f>
        <v>106</v>
      </c>
      <c r="H10" s="654"/>
      <c r="I10" s="457"/>
      <c r="J10" s="657" t="s">
        <v>23</v>
      </c>
      <c r="K10" s="650">
        <f>G9/G16</f>
        <v>0.14590163934426231</v>
      </c>
      <c r="L10" s="828"/>
      <c r="M10" s="815" t="s">
        <v>358</v>
      </c>
      <c r="N10" s="826">
        <f>N3+Данные!F32*2+E24*2+N8/D35/2</f>
        <v>359.75</v>
      </c>
      <c r="R10" s="640"/>
      <c r="S10" s="457" t="s">
        <v>22</v>
      </c>
      <c r="T10" s="457"/>
      <c r="U10" s="457"/>
      <c r="V10" s="653">
        <f>ROUNDUP(AC19,0)</f>
        <v>-1547</v>
      </c>
      <c r="W10" s="654">
        <v>870</v>
      </c>
      <c r="X10" s="457"/>
      <c r="Y10" s="457" t="s">
        <v>23</v>
      </c>
      <c r="Z10" s="650">
        <f>V9/V14</f>
        <v>0.16842105263157894</v>
      </c>
      <c r="AB10" s="850" t="s">
        <v>1</v>
      </c>
      <c r="AC10" s="851"/>
      <c r="AE10" s="640"/>
      <c r="AF10" s="457" t="s">
        <v>22</v>
      </c>
      <c r="AG10" s="457"/>
      <c r="AH10" s="457"/>
      <c r="AI10" s="457"/>
      <c r="AJ10" s="653">
        <v>2243</v>
      </c>
      <c r="AK10" s="654"/>
      <c r="AL10" s="457"/>
      <c r="AM10" s="657" t="s">
        <v>23</v>
      </c>
      <c r="AN10" s="650">
        <f>AJ9/AJ16</f>
        <v>0.35088757396449705</v>
      </c>
      <c r="AP10" s="818" t="s">
        <v>20</v>
      </c>
      <c r="AQ10" s="642">
        <f>(((AQ19*0.985)*(AQ19*0.985)-(AQ4*0.994)*(AQ4*0.994))*3.1415926*AQ5*AQ6)/4000000</f>
        <v>2098.4550612833737</v>
      </c>
    </row>
    <row r="11" spans="2:43" x14ac:dyDescent="0.3">
      <c r="B11" s="640"/>
      <c r="C11" s="457" t="s">
        <v>24</v>
      </c>
      <c r="D11" s="457"/>
      <c r="E11" s="457"/>
      <c r="F11" s="457"/>
      <c r="G11" s="856">
        <f>ROUNDUP(N12,0)</f>
        <v>36</v>
      </c>
      <c r="H11" s="654"/>
      <c r="I11" s="457"/>
      <c r="J11" s="457"/>
      <c r="K11" s="650"/>
      <c r="M11" s="818" t="s">
        <v>20</v>
      </c>
      <c r="N11" s="855">
        <f>Данные!B34</f>
        <v>105.22084062552563</v>
      </c>
      <c r="O11" s="1003"/>
      <c r="R11" s="640"/>
      <c r="S11" s="457" t="s">
        <v>24</v>
      </c>
      <c r="T11" s="457"/>
      <c r="U11" s="457"/>
      <c r="V11" s="651">
        <v>418</v>
      </c>
      <c r="W11" s="654"/>
      <c r="X11" s="457"/>
      <c r="Y11" s="457"/>
      <c r="Z11" s="650"/>
      <c r="AB11" s="815" t="s">
        <v>1128</v>
      </c>
      <c r="AC11" s="720">
        <v>545</v>
      </c>
      <c r="AE11" s="640"/>
      <c r="AF11" s="457" t="s">
        <v>24</v>
      </c>
      <c r="AG11" s="457"/>
      <c r="AH11" s="457"/>
      <c r="AI11" s="457"/>
      <c r="AJ11" s="651">
        <v>910</v>
      </c>
      <c r="AK11" s="654"/>
      <c r="AL11" s="457"/>
      <c r="AM11" s="457"/>
      <c r="AN11" s="650"/>
      <c r="AP11" s="818" t="s">
        <v>24</v>
      </c>
      <c r="AQ11" s="642">
        <f>((AQ9*AQ9-(AQ4*0.994)*(AQ4*0.994))*3.1415926*AQ7*AQ6)/4000000</f>
        <v>-1933.549465484967</v>
      </c>
    </row>
    <row r="12" spans="2:43" x14ac:dyDescent="0.3">
      <c r="B12" s="640"/>
      <c r="C12" s="655" t="s">
        <v>356</v>
      </c>
      <c r="D12" s="655"/>
      <c r="E12" s="655"/>
      <c r="F12" s="457"/>
      <c r="G12" s="651">
        <f>ROUNDUP(N13,0)</f>
        <v>34</v>
      </c>
      <c r="H12" s="654"/>
      <c r="I12" s="457"/>
      <c r="J12" s="457"/>
      <c r="K12" s="650"/>
      <c r="M12" s="818" t="s">
        <v>24</v>
      </c>
      <c r="N12" s="855">
        <f>Данные!B35</f>
        <v>35.476299445192971</v>
      </c>
      <c r="R12" s="640"/>
      <c r="S12" s="655" t="s">
        <v>356</v>
      </c>
      <c r="T12" s="655"/>
      <c r="U12" s="457"/>
      <c r="V12" s="651">
        <v>172</v>
      </c>
      <c r="W12" s="654"/>
      <c r="X12" s="457"/>
      <c r="Y12" s="457"/>
      <c r="Z12" s="650"/>
      <c r="AB12" s="815" t="s">
        <v>1129</v>
      </c>
      <c r="AC12" s="720">
        <v>425</v>
      </c>
      <c r="AE12" s="640"/>
      <c r="AF12" s="655" t="s">
        <v>356</v>
      </c>
      <c r="AG12" s="655"/>
      <c r="AH12" s="655"/>
      <c r="AI12" s="457"/>
      <c r="AJ12" s="651">
        <v>97</v>
      </c>
      <c r="AK12" s="654"/>
      <c r="AL12" s="457"/>
      <c r="AM12" s="457"/>
      <c r="AN12" s="650"/>
      <c r="AP12" s="826" t="s">
        <v>356</v>
      </c>
      <c r="AQ12" s="642">
        <v>152</v>
      </c>
    </row>
    <row r="13" spans="2:43" x14ac:dyDescent="0.3">
      <c r="B13" s="640"/>
      <c r="C13" s="457" t="s">
        <v>27</v>
      </c>
      <c r="D13" s="457"/>
      <c r="E13" s="457"/>
      <c r="F13" s="457"/>
      <c r="G13" s="651">
        <f>G10+G11+G12</f>
        <v>176</v>
      </c>
      <c r="H13" s="654"/>
      <c r="I13" s="457"/>
      <c r="J13" s="457"/>
      <c r="K13" s="644"/>
      <c r="M13" s="826" t="s">
        <v>356</v>
      </c>
      <c r="N13" s="818">
        <f>Данные!B31</f>
        <v>33.61</v>
      </c>
      <c r="R13" s="640"/>
      <c r="S13" s="457" t="s">
        <v>27</v>
      </c>
      <c r="T13" s="457"/>
      <c r="U13" s="457"/>
      <c r="V13" s="651">
        <v>1460</v>
      </c>
      <c r="W13" s="654"/>
      <c r="X13" s="457"/>
      <c r="Y13" s="457"/>
      <c r="Z13" s="644"/>
      <c r="AB13" s="815" t="s">
        <v>1130</v>
      </c>
      <c r="AC13" s="720">
        <v>400</v>
      </c>
      <c r="AE13" s="640"/>
      <c r="AF13" s="457" t="s">
        <v>27</v>
      </c>
      <c r="AG13" s="457"/>
      <c r="AH13" s="457"/>
      <c r="AI13" s="457"/>
      <c r="AJ13" s="651">
        <f>AJ10+AJ11+AJ12</f>
        <v>3250</v>
      </c>
      <c r="AK13" s="654"/>
      <c r="AL13" s="457"/>
      <c r="AM13" s="457"/>
      <c r="AN13" s="644"/>
      <c r="AP13" s="829"/>
    </row>
    <row r="14" spans="2:43" x14ac:dyDescent="0.3">
      <c r="B14" s="640"/>
      <c r="C14" s="457" t="s">
        <v>29</v>
      </c>
      <c r="D14" s="457"/>
      <c r="E14" s="457"/>
      <c r="F14" s="457"/>
      <c r="G14" s="651">
        <f>ROUNDUP(G13/G17,0)</f>
        <v>176</v>
      </c>
      <c r="H14" s="654"/>
      <c r="I14" s="457"/>
      <c r="J14" s="457"/>
      <c r="K14" s="644"/>
      <c r="M14" s="829"/>
      <c r="N14" s="999"/>
      <c r="R14" s="640"/>
      <c r="S14" s="457" t="s">
        <v>32</v>
      </c>
      <c r="T14" s="457"/>
      <c r="U14" s="457"/>
      <c r="V14" s="651">
        <v>1520</v>
      </c>
      <c r="W14" s="654"/>
      <c r="X14" s="457"/>
      <c r="Y14" s="457"/>
      <c r="Z14" s="656"/>
      <c r="AB14" s="815" t="s">
        <v>1131</v>
      </c>
      <c r="AC14" s="720">
        <v>318</v>
      </c>
      <c r="AE14" s="640"/>
      <c r="AF14" s="457" t="s">
        <v>29</v>
      </c>
      <c r="AG14" s="457"/>
      <c r="AH14" s="457"/>
      <c r="AI14" s="457"/>
      <c r="AJ14" s="651">
        <f>ROUNDUP(AJ13/AJ17,0)</f>
        <v>3250</v>
      </c>
      <c r="AK14" s="654"/>
      <c r="AL14" s="457"/>
      <c r="AM14" s="457"/>
      <c r="AN14" s="644"/>
      <c r="AP14" s="818" t="s">
        <v>30</v>
      </c>
    </row>
    <row r="15" spans="2:43" ht="16.2" thickBot="1" x14ac:dyDescent="0.35">
      <c r="B15" s="640"/>
      <c r="C15" s="457" t="s">
        <v>32</v>
      </c>
      <c r="D15" s="457"/>
      <c r="E15" s="457"/>
      <c r="F15" s="457"/>
      <c r="G15" s="651">
        <f>ROUND(G13*1.04,0)</f>
        <v>183</v>
      </c>
      <c r="H15" s="654"/>
      <c r="J15" s="457"/>
      <c r="K15" s="656"/>
      <c r="M15" s="819" t="s">
        <v>30</v>
      </c>
      <c r="N15" s="959"/>
      <c r="R15" s="658"/>
      <c r="S15" s="659" t="s">
        <v>36</v>
      </c>
      <c r="T15" s="659"/>
      <c r="U15" s="659"/>
      <c r="V15" s="833">
        <v>1</v>
      </c>
      <c r="W15" s="659"/>
      <c r="X15" s="659"/>
      <c r="Y15" s="659"/>
      <c r="Z15" s="661"/>
      <c r="AB15" s="815" t="s">
        <v>8</v>
      </c>
      <c r="AC15" s="720">
        <v>1540</v>
      </c>
      <c r="AE15" s="640"/>
      <c r="AF15" s="457" t="s">
        <v>32</v>
      </c>
      <c r="AG15" s="457"/>
      <c r="AH15" s="457"/>
      <c r="AI15" s="457"/>
      <c r="AJ15" s="651">
        <f>ROUNDUP(AJ13*1.04,0)</f>
        <v>3380</v>
      </c>
      <c r="AK15" s="654"/>
      <c r="AL15" s="457"/>
      <c r="AM15" s="457"/>
      <c r="AN15" s="656"/>
      <c r="AP15" s="815" t="s">
        <v>3</v>
      </c>
      <c r="AQ15" s="642">
        <v>1865</v>
      </c>
    </row>
    <row r="16" spans="2:43" x14ac:dyDescent="0.3">
      <c r="B16" s="640"/>
      <c r="C16" s="457" t="s">
        <v>34</v>
      </c>
      <c r="D16" s="457"/>
      <c r="E16" s="457"/>
      <c r="F16" s="457"/>
      <c r="G16" s="651">
        <f>ROUNDUP(G15/G17,0)</f>
        <v>183</v>
      </c>
      <c r="H16" s="654"/>
      <c r="I16" s="457"/>
      <c r="J16" s="457"/>
      <c r="K16" s="656"/>
      <c r="M16" s="815" t="s">
        <v>3</v>
      </c>
      <c r="N16" s="720">
        <v>300</v>
      </c>
      <c r="R16" s="647"/>
      <c r="S16" s="641" t="s">
        <v>221</v>
      </c>
      <c r="T16" s="641"/>
      <c r="U16" s="641"/>
      <c r="V16" s="641"/>
      <c r="W16" s="641"/>
      <c r="X16" s="641" t="s">
        <v>380</v>
      </c>
      <c r="Y16" s="836"/>
      <c r="Z16" s="837"/>
      <c r="AB16" s="818" t="s">
        <v>12</v>
      </c>
      <c r="AC16" s="819">
        <f>VLOOKUP(V8,Данные!A3:I27,9,FALSE())</f>
        <v>9.1999999999999993</v>
      </c>
      <c r="AE16" s="640"/>
      <c r="AF16" s="457" t="s">
        <v>34</v>
      </c>
      <c r="AG16" s="457"/>
      <c r="AH16" s="457"/>
      <c r="AI16" s="457"/>
      <c r="AJ16" s="651">
        <f>ROUNDUP(AJ15/AJ17,0)</f>
        <v>3380</v>
      </c>
      <c r="AK16" s="654"/>
      <c r="AL16" s="457"/>
      <c r="AM16" s="457"/>
      <c r="AN16" s="656"/>
      <c r="AP16" s="815" t="s">
        <v>5</v>
      </c>
      <c r="AQ16" s="642">
        <v>1635</v>
      </c>
    </row>
    <row r="17" spans="2:43" ht="15" customHeight="1" x14ac:dyDescent="0.3">
      <c r="B17" s="640"/>
      <c r="C17" s="457" t="s">
        <v>36</v>
      </c>
      <c r="D17" s="457"/>
      <c r="E17" s="457"/>
      <c r="F17" s="457"/>
      <c r="G17" s="651">
        <f>G18*G19</f>
        <v>1</v>
      </c>
      <c r="H17" s="457"/>
      <c r="I17" s="457"/>
      <c r="J17" s="457"/>
      <c r="K17" s="656"/>
      <c r="M17" s="815" t="s">
        <v>5</v>
      </c>
      <c r="N17" s="720">
        <v>280</v>
      </c>
      <c r="R17" s="640"/>
      <c r="S17" s="662">
        <f>ROUNDUP(AC17*0.985,0)</f>
        <v>217</v>
      </c>
      <c r="T17" s="662"/>
      <c r="U17" s="636">
        <f>ROUND(AC15*0.985,0)</f>
        <v>1517</v>
      </c>
      <c r="V17" s="457"/>
      <c r="W17" s="457"/>
      <c r="X17" s="457"/>
      <c r="Y17" s="663"/>
      <c r="Z17" s="664"/>
      <c r="AB17" s="815" t="s">
        <v>14</v>
      </c>
      <c r="AC17" s="822">
        <v>220</v>
      </c>
      <c r="AE17" s="640"/>
      <c r="AF17" s="457" t="s">
        <v>36</v>
      </c>
      <c r="AG17" s="457"/>
      <c r="AH17" s="457"/>
      <c r="AI17" s="457"/>
      <c r="AJ17" s="651">
        <f>AJ18*AJ19</f>
        <v>1</v>
      </c>
      <c r="AK17" s="457"/>
      <c r="AL17" s="457"/>
      <c r="AM17" s="457"/>
      <c r="AN17" s="656"/>
      <c r="AP17" s="815" t="s">
        <v>8</v>
      </c>
      <c r="AQ17" s="642">
        <v>250</v>
      </c>
    </row>
    <row r="18" spans="2:43" x14ac:dyDescent="0.3">
      <c r="B18" s="640"/>
      <c r="C18" s="457" t="s">
        <v>38</v>
      </c>
      <c r="D18" s="457"/>
      <c r="E18" s="457"/>
      <c r="F18" s="457"/>
      <c r="G18" s="651">
        <v>1</v>
      </c>
      <c r="H18" s="457"/>
      <c r="I18" s="457"/>
      <c r="J18" s="457"/>
      <c r="K18" s="656"/>
      <c r="M18" s="815" t="s">
        <v>8</v>
      </c>
      <c r="N18" s="720">
        <v>390</v>
      </c>
      <c r="R18" s="640"/>
      <c r="S18" s="457"/>
      <c r="T18" s="457"/>
      <c r="U18" s="665" t="str">
        <f>"("&amp;AC26&amp;")"</f>
        <v>(1380)</v>
      </c>
      <c r="V18" s="457"/>
      <c r="W18" s="457"/>
      <c r="X18" s="457"/>
      <c r="Y18" s="457"/>
      <c r="Z18" s="664"/>
      <c r="AB18" s="815" t="s">
        <v>358</v>
      </c>
      <c r="AC18" s="824">
        <v>372.5</v>
      </c>
      <c r="AE18" s="640"/>
      <c r="AF18" s="457" t="s">
        <v>38</v>
      </c>
      <c r="AG18" s="457"/>
      <c r="AH18" s="457"/>
      <c r="AI18" s="457"/>
      <c r="AJ18" s="651">
        <v>1</v>
      </c>
      <c r="AK18" s="457"/>
      <c r="AL18" s="457"/>
      <c r="AM18" s="457"/>
      <c r="AN18" s="656"/>
    </row>
    <row r="19" spans="2:43" ht="16.2" thickBot="1" x14ac:dyDescent="0.35">
      <c r="B19" s="658"/>
      <c r="C19" s="659" t="s">
        <v>40</v>
      </c>
      <c r="D19" s="659"/>
      <c r="E19" s="659"/>
      <c r="F19" s="659"/>
      <c r="G19" s="833">
        <v>1</v>
      </c>
      <c r="H19" s="659"/>
      <c r="I19" s="659"/>
      <c r="J19" s="659"/>
      <c r="K19" s="661"/>
      <c r="M19" s="818" t="s">
        <v>19</v>
      </c>
      <c r="N19" s="818">
        <f>((N16*N16-N17*N17)*3.1415926*N18*N6)/4000000</f>
        <v>26.648559229499998</v>
      </c>
      <c r="R19" s="640"/>
      <c r="S19" s="457"/>
      <c r="T19" s="838">
        <v>40</v>
      </c>
      <c r="U19" s="457"/>
      <c r="V19" s="457"/>
      <c r="W19" s="457"/>
      <c r="X19" s="457"/>
      <c r="Y19" s="457"/>
      <c r="Z19" s="666"/>
      <c r="AB19" s="818" t="s">
        <v>20</v>
      </c>
      <c r="AC19" s="854">
        <f>(3.1415926*AC15/3000000*((AC11/2)*(AC11/2)+(AC11/2)*(AC13/2)+(AC13/2)*(AC13/2))*Y62)-(3.1415926*AC15/3000000*((AC12/2)*(AC12/2)+(AC12/2)*(AC14/2)+(AC14/2)*(AC14/2))*AC16)</f>
        <v>-1546.3507909588304</v>
      </c>
      <c r="AE19" s="658"/>
      <c r="AF19" s="659" t="s">
        <v>40</v>
      </c>
      <c r="AG19" s="659"/>
      <c r="AH19" s="659"/>
      <c r="AI19" s="659"/>
      <c r="AJ19" s="833">
        <v>1</v>
      </c>
      <c r="AK19" s="659"/>
      <c r="AL19" s="659"/>
      <c r="AM19" s="659"/>
      <c r="AN19" s="661"/>
      <c r="AP19" s="834" t="s">
        <v>807</v>
      </c>
      <c r="AQ19" s="642">
        <f>(AQ3+(AQ3+2*AJ20))/2</f>
        <v>1939</v>
      </c>
    </row>
    <row r="20" spans="2:43" x14ac:dyDescent="0.3">
      <c r="B20" s="647"/>
      <c r="C20" s="641" t="s">
        <v>1042</v>
      </c>
      <c r="D20" s="641"/>
      <c r="E20" s="641"/>
      <c r="F20" s="641" t="str">
        <f>"Формовочный уклон  "&amp;ROUND(Данные!F32,0)</f>
        <v>Формовочный уклон  4</v>
      </c>
      <c r="G20" s="641"/>
      <c r="H20" s="641"/>
      <c r="I20" s="641" t="s">
        <v>354</v>
      </c>
      <c r="J20" s="836"/>
      <c r="K20" s="837"/>
      <c r="M20" s="831" t="s">
        <v>271</v>
      </c>
      <c r="N20" s="860"/>
      <c r="R20" s="640"/>
      <c r="S20" s="457"/>
      <c r="T20" s="457"/>
      <c r="U20" s="457"/>
      <c r="V20" s="457"/>
      <c r="W20" s="457"/>
      <c r="X20" s="457"/>
      <c r="Y20" s="667"/>
      <c r="Z20" s="666"/>
      <c r="AB20" s="818" t="s">
        <v>24</v>
      </c>
      <c r="AC20" s="855">
        <f>((AC18*AC18-146.5*146.5)*3.1415926*AC17*AC16)/4000000</f>
        <v>186.45592098674641</v>
      </c>
      <c r="AE20" s="647"/>
      <c r="AF20" s="641" t="s">
        <v>221</v>
      </c>
      <c r="AG20" s="641"/>
      <c r="AH20" s="641"/>
      <c r="AI20" s="641" t="str">
        <f>"Формовочный уклон"</f>
        <v>Формовочный уклон</v>
      </c>
      <c r="AJ20" s="835">
        <v>4</v>
      </c>
      <c r="AK20" s="641"/>
      <c r="AL20" s="641" t="s">
        <v>814</v>
      </c>
      <c r="AM20" s="836"/>
      <c r="AN20" s="837"/>
    </row>
    <row r="21" spans="2:43" x14ac:dyDescent="0.3">
      <c r="B21" s="640"/>
      <c r="C21" s="457"/>
      <c r="D21" s="457"/>
      <c r="E21" s="457"/>
      <c r="F21" s="457"/>
      <c r="G21" s="457"/>
      <c r="H21" s="457"/>
      <c r="I21" s="457"/>
      <c r="J21" s="663"/>
      <c r="K21" s="664"/>
      <c r="M21" s="1502" t="s">
        <v>1028</v>
      </c>
      <c r="N21" s="1503"/>
      <c r="O21" s="1003"/>
      <c r="P21" s="960"/>
      <c r="R21" s="640"/>
      <c r="S21" s="457"/>
      <c r="T21" s="457"/>
      <c r="U21" s="457"/>
      <c r="V21" s="457"/>
      <c r="W21" s="457"/>
      <c r="X21" s="457"/>
      <c r="Y21" s="654">
        <v>180</v>
      </c>
      <c r="Z21" s="666"/>
      <c r="AB21" s="818" t="s">
        <v>26</v>
      </c>
      <c r="AC21" s="818">
        <v>28.5</v>
      </c>
      <c r="AE21" s="640"/>
      <c r="AF21" s="457"/>
      <c r="AH21" s="457"/>
      <c r="AI21" s="457"/>
      <c r="AJ21" s="457"/>
      <c r="AK21" s="457"/>
      <c r="AL21" s="457"/>
      <c r="AM21" s="663"/>
      <c r="AN21" s="664"/>
      <c r="AQ21" s="960"/>
    </row>
    <row r="22" spans="2:43" x14ac:dyDescent="0.3">
      <c r="B22" s="640"/>
      <c r="C22" s="457"/>
      <c r="D22" s="662">
        <f>IF(O8=0,ROUND(N8*0.985,0),ROUNDUP(O8*0.985,0))</f>
        <v>94</v>
      </c>
      <c r="E22" s="662"/>
      <c r="F22" s="662">
        <f>IF(O5=0,ROUNDUP(N5*0.985,0),O5-15)</f>
        <v>458</v>
      </c>
      <c r="G22" s="457" t="str">
        <f>"( "&amp;F22+15&amp;" для модели) * "</f>
        <v xml:space="preserve">( 473 для модели) * </v>
      </c>
      <c r="H22" s="457"/>
      <c r="I22" s="457"/>
      <c r="J22" s="1203"/>
      <c r="K22" s="664"/>
      <c r="M22" s="962" t="s">
        <v>1029</v>
      </c>
      <c r="N22" s="963" t="str">
        <f>Данные!E205</f>
        <v xml:space="preserve">9 </v>
      </c>
      <c r="O22" s="961"/>
      <c r="P22" s="961"/>
      <c r="R22" s="640"/>
      <c r="S22" s="457"/>
      <c r="T22" s="457"/>
      <c r="U22" s="457"/>
      <c r="V22" s="457"/>
      <c r="W22" s="457"/>
      <c r="X22" s="457"/>
      <c r="Y22" s="669"/>
      <c r="Z22" s="666"/>
      <c r="AB22" s="829"/>
      <c r="AC22" s="857"/>
      <c r="AE22" s="640"/>
      <c r="AG22" s="662">
        <v>148</v>
      </c>
      <c r="AH22" s="662"/>
      <c r="AI22" s="662">
        <v>300</v>
      </c>
      <c r="AJ22" s="457"/>
      <c r="AK22" s="457"/>
      <c r="AL22" s="457"/>
      <c r="AM22" s="663"/>
      <c r="AN22" s="664"/>
      <c r="AQ22" s="960"/>
    </row>
    <row r="23" spans="2:43" x14ac:dyDescent="0.3">
      <c r="B23" s="640"/>
      <c r="C23" s="457"/>
      <c r="D23" s="457"/>
      <c r="E23" s="457"/>
      <c r="F23" s="699" t="str">
        <f>"( "&amp;N18&amp;" )"</f>
        <v>( 390 )</v>
      </c>
      <c r="G23" s="457"/>
      <c r="H23" s="457"/>
      <c r="I23" s="457"/>
      <c r="J23" s="663"/>
      <c r="K23" s="664"/>
      <c r="M23" s="863" t="s">
        <v>991</v>
      </c>
      <c r="N23" s="963" t="str">
        <f>Данные!F205</f>
        <v xml:space="preserve">11 </v>
      </c>
      <c r="R23" s="865" t="s">
        <v>1061</v>
      </c>
      <c r="S23" s="457"/>
      <c r="T23" s="1200" t="str">
        <f>"Ø "&amp;ROUNDUP(AC12*0.994,0)</f>
        <v>Ø 423</v>
      </c>
      <c r="U23" s="457"/>
      <c r="V23" s="457"/>
      <c r="W23" s="457"/>
      <c r="X23" s="457"/>
      <c r="Y23" s="670" t="str">
        <f>"Ø "&amp;ROUND(AC14*0.994,0)</f>
        <v>Ø 316</v>
      </c>
      <c r="Z23" s="866" t="str">
        <f>"Ø "&amp;ROUND(AC13*0.985,0)</f>
        <v>Ø 394</v>
      </c>
      <c r="AB23" s="818" t="s">
        <v>30</v>
      </c>
      <c r="AC23" s="815"/>
      <c r="AE23" s="640"/>
      <c r="AF23" s="457"/>
      <c r="AG23" s="457"/>
      <c r="AH23" s="457"/>
      <c r="AI23" s="675" t="str">
        <f>"( "&amp;AQ17&amp;" )"</f>
        <v>( 250 )</v>
      </c>
      <c r="AJ23" s="457"/>
      <c r="AK23" s="457"/>
      <c r="AL23" s="457"/>
      <c r="AM23" s="663"/>
      <c r="AN23" s="664"/>
    </row>
    <row r="24" spans="2:43" x14ac:dyDescent="0.3">
      <c r="B24" s="640"/>
      <c r="C24" s="457"/>
      <c r="D24" s="457"/>
      <c r="E24" s="838">
        <f>VLOOKUP(TRUE,Данные!M260:O296,3,0)</f>
        <v>12</v>
      </c>
      <c r="F24" s="457"/>
      <c r="G24" s="457"/>
      <c r="H24" s="457"/>
      <c r="I24" s="457"/>
      <c r="J24" s="457"/>
      <c r="K24" s="666"/>
      <c r="M24" s="863" t="s">
        <v>992</v>
      </c>
      <c r="N24" s="963" t="str">
        <f>Данные!G205</f>
        <v>11</v>
      </c>
      <c r="R24" s="867"/>
      <c r="S24" s="457"/>
      <c r="T24" s="868" t="s">
        <v>971</v>
      </c>
      <c r="U24" s="674"/>
      <c r="V24" s="457"/>
      <c r="W24" s="457"/>
      <c r="X24" s="457"/>
      <c r="Y24" s="675" t="str">
        <f>"("&amp;AC25&amp;")"</f>
        <v>(348)</v>
      </c>
      <c r="Z24" s="869" t="str">
        <f>"("&amp;AC24&amp;")"</f>
        <v>(379,5)</v>
      </c>
      <c r="AB24" s="815" t="s">
        <v>3</v>
      </c>
      <c r="AC24" s="858">
        <v>379.5</v>
      </c>
      <c r="AE24" s="640"/>
      <c r="AF24" s="457"/>
      <c r="AG24" s="457"/>
      <c r="AH24" s="838"/>
      <c r="AI24" s="457"/>
      <c r="AJ24" s="457"/>
      <c r="AK24" s="457"/>
      <c r="AL24" s="457"/>
      <c r="AM24" s="457"/>
      <c r="AN24" s="666"/>
    </row>
    <row r="25" spans="2:43" x14ac:dyDescent="0.3">
      <c r="B25" s="640"/>
      <c r="C25" s="457"/>
      <c r="D25" s="457"/>
      <c r="E25" s="457"/>
      <c r="F25" s="457"/>
      <c r="G25" s="457"/>
      <c r="H25" s="457"/>
      <c r="I25" s="457"/>
      <c r="J25" s="667"/>
      <c r="K25" s="666"/>
      <c r="M25" s="863" t="s">
        <v>1030</v>
      </c>
      <c r="N25" s="963">
        <f>Данные!D238</f>
        <v>10</v>
      </c>
      <c r="R25" s="640"/>
      <c r="S25" s="457"/>
      <c r="T25" s="457"/>
      <c r="U25" s="457"/>
      <c r="V25" s="457"/>
      <c r="W25" s="457"/>
      <c r="X25" s="457"/>
      <c r="Y25" s="668"/>
      <c r="Z25" s="666"/>
      <c r="AB25" s="815" t="s">
        <v>5</v>
      </c>
      <c r="AC25" s="858">
        <v>348</v>
      </c>
      <c r="AE25" s="640"/>
      <c r="AF25" s="457"/>
      <c r="AG25" s="457"/>
      <c r="AH25" s="457"/>
      <c r="AI25" s="457"/>
      <c r="AJ25" s="457"/>
      <c r="AK25" s="457"/>
      <c r="AL25" s="457"/>
      <c r="AM25" s="667"/>
      <c r="AN25" s="666"/>
      <c r="AQ25" s="642">
        <f>((2157*2157-1977*1977)*3.1415926*400*AQ6)/4000000</f>
        <v>1753.291414134</v>
      </c>
    </row>
    <row r="26" spans="2:43" x14ac:dyDescent="0.3">
      <c r="B26" s="640"/>
      <c r="C26" s="457"/>
      <c r="D26" s="457"/>
      <c r="E26" s="457"/>
      <c r="F26" s="457"/>
      <c r="G26" s="457"/>
      <c r="H26" s="657">
        <v>80</v>
      </c>
      <c r="J26" s="668"/>
      <c r="K26" s="666"/>
      <c r="M26" s="863" t="s">
        <v>1045</v>
      </c>
      <c r="N26" s="863">
        <f>IF(AND(N6&gt;7.6,N18&gt;=390),40,IF(N18&gt;=390,37,0))</f>
        <v>37</v>
      </c>
      <c r="R26" s="640"/>
      <c r="S26" s="457"/>
      <c r="T26" s="457"/>
      <c r="U26" s="457"/>
      <c r="V26" s="457"/>
      <c r="W26" s="457"/>
      <c r="X26" s="457"/>
      <c r="Y26" s="668"/>
      <c r="Z26" s="666"/>
      <c r="AB26" s="815" t="s">
        <v>8</v>
      </c>
      <c r="AC26" s="858">
        <v>1380</v>
      </c>
      <c r="AE26" s="839"/>
      <c r="AF26" s="457"/>
      <c r="AG26" s="457"/>
      <c r="AH26" s="457"/>
      <c r="AI26" s="457"/>
      <c r="AJ26" s="457"/>
      <c r="AK26" s="457"/>
      <c r="AL26" s="654">
        <v>120</v>
      </c>
      <c r="AM26" s="668"/>
      <c r="AN26" s="666"/>
      <c r="AQ26" s="642">
        <f>AQ25*2/3</f>
        <v>1168.860942756</v>
      </c>
    </row>
    <row r="27" spans="2:43" ht="16.2" thickBot="1" x14ac:dyDescent="0.35">
      <c r="B27" s="640"/>
      <c r="C27" s="457"/>
      <c r="D27" s="457"/>
      <c r="E27" s="457"/>
      <c r="F27" s="457"/>
      <c r="G27" s="457"/>
      <c r="H27" s="457"/>
      <c r="I27" s="457"/>
      <c r="J27" s="669"/>
      <c r="K27" s="666"/>
      <c r="M27" s="1504" t="s">
        <v>269</v>
      </c>
      <c r="N27" s="1504"/>
      <c r="R27" s="640"/>
      <c r="S27" s="676"/>
      <c r="T27" s="457"/>
      <c r="U27" s="677"/>
      <c r="V27" s="673"/>
      <c r="W27" s="457"/>
      <c r="X27" s="457"/>
      <c r="Y27" s="668"/>
      <c r="Z27" s="666"/>
      <c r="AB27" s="818" t="s">
        <v>19</v>
      </c>
      <c r="AC27" s="818">
        <f>ROUNDUP(((AC24*AC24-AC25*AC25)*3.1415926*AC26*AC16)/4000000,0)</f>
        <v>229</v>
      </c>
      <c r="AE27" s="840"/>
      <c r="AF27" s="457"/>
      <c r="AG27" s="457"/>
      <c r="AH27" s="457"/>
      <c r="AI27" s="457"/>
      <c r="AJ27" s="457"/>
      <c r="AK27" s="457"/>
      <c r="AL27" s="457"/>
      <c r="AM27" s="669"/>
      <c r="AN27" s="666"/>
      <c r="AQ27" s="642">
        <f>AQ25/3</f>
        <v>584.43047137799999</v>
      </c>
    </row>
    <row r="28" spans="2:43" ht="16.2" thickBot="1" x14ac:dyDescent="0.35">
      <c r="B28" s="640"/>
      <c r="C28" s="457"/>
      <c r="D28" s="457"/>
      <c r="E28" s="457"/>
      <c r="F28" s="457"/>
      <c r="G28" s="457"/>
      <c r="H28" s="457"/>
      <c r="I28" s="654">
        <f>IF(O4=0,N17-N24*2,ROUNDDOWN(O4*0.994,0))</f>
        <v>258</v>
      </c>
      <c r="J28" s="827">
        <f>IF(O3=0,ROUNDUP(N3*0.985,0),ROUNDUP(O3*0.985,0))</f>
        <v>319</v>
      </c>
      <c r="K28" s="666"/>
      <c r="M28" s="1505" t="s">
        <v>277</v>
      </c>
      <c r="N28" s="1505"/>
      <c r="R28" s="640"/>
      <c r="S28" s="676"/>
      <c r="T28" s="457" t="str">
        <f>IF(Данные!U33=TRUE,"ХХХХХХХХХХХХХХХХХХХХХХХХХХХХХХХХХХХХХХ","")</f>
        <v/>
      </c>
      <c r="U28" s="677"/>
      <c r="V28" s="673"/>
      <c r="W28" s="457"/>
      <c r="X28" s="457"/>
      <c r="Y28" s="668"/>
      <c r="Z28" s="666"/>
      <c r="AB28" s="830" t="s">
        <v>271</v>
      </c>
      <c r="AC28" s="859">
        <v>256</v>
      </c>
      <c r="AE28" s="640"/>
      <c r="AF28" s="457"/>
      <c r="AG28" s="457"/>
      <c r="AH28" s="457"/>
      <c r="AI28" s="457"/>
      <c r="AJ28" s="457"/>
      <c r="AK28" s="457"/>
      <c r="AL28" s="671" t="str">
        <f>"Ø "&amp;ROUNDDOWN(AQ4*0.994,0)</f>
        <v>Ø 1568</v>
      </c>
      <c r="AM28" s="671" t="str">
        <f>"Ø "&amp;ROUNDUP(AQ3*0.985,0)</f>
        <v>Ø 1906</v>
      </c>
      <c r="AN28" s="666"/>
      <c r="AQ28" s="1012">
        <v>1461</v>
      </c>
    </row>
    <row r="29" spans="2:43" x14ac:dyDescent="0.3">
      <c r="B29" s="640"/>
      <c r="C29" s="457"/>
      <c r="D29" s="457"/>
      <c r="E29" s="673"/>
      <c r="F29" s="674"/>
      <c r="G29" s="457"/>
      <c r="H29" s="457"/>
      <c r="I29" s="649" t="str">
        <f>"("&amp;N17&amp;")"</f>
        <v>(280)</v>
      </c>
      <c r="J29" s="649" t="str">
        <f>"("&amp;N16&amp;")"</f>
        <v>(300)</v>
      </c>
      <c r="K29" s="666"/>
      <c r="M29" s="1505" t="s">
        <v>1031</v>
      </c>
      <c r="N29" s="1505"/>
      <c r="R29" s="640"/>
      <c r="S29" s="457"/>
      <c r="T29" s="457"/>
      <c r="U29" s="654" t="str">
        <f>"Ø "&amp;ROUNDUP(AC11*0.985,0)</f>
        <v>Ø 537</v>
      </c>
      <c r="V29" s="674"/>
      <c r="W29" s="678"/>
      <c r="X29" s="457"/>
      <c r="Y29" s="668"/>
      <c r="Z29" s="666"/>
      <c r="AB29" s="832"/>
      <c r="AC29" s="655"/>
      <c r="AE29" s="640"/>
      <c r="AF29" s="457"/>
      <c r="AG29" s="457"/>
      <c r="AH29" s="673"/>
      <c r="AI29" s="674"/>
      <c r="AJ29" s="457"/>
      <c r="AK29" s="457"/>
      <c r="AL29" s="674" t="str">
        <f>"("&amp;AQ16&amp;")"</f>
        <v>(1635)</v>
      </c>
      <c r="AM29" s="674" t="str">
        <f>"("&amp;AQ15&amp;")"</f>
        <v>(1865)</v>
      </c>
      <c r="AN29" s="666"/>
      <c r="AQ29" s="642">
        <f>AQ28/9.3*9.1</f>
        <v>1429.5806451612902</v>
      </c>
    </row>
    <row r="30" spans="2:43" x14ac:dyDescent="0.3">
      <c r="B30" s="640"/>
      <c r="C30" s="457"/>
      <c r="D30" s="457"/>
      <c r="E30" s="457"/>
      <c r="F30" s="457"/>
      <c r="G30" s="457"/>
      <c r="H30" s="457"/>
      <c r="I30" s="457"/>
      <c r="J30" s="668"/>
      <c r="K30" s="666"/>
      <c r="M30" s="1284"/>
      <c r="N30" s="655"/>
      <c r="R30" s="640"/>
      <c r="S30" s="842" t="s">
        <v>359</v>
      </c>
      <c r="T30" s="843">
        <v>10</v>
      </c>
      <c r="U30" s="669" t="s">
        <v>970</v>
      </c>
      <c r="V30" s="457"/>
      <c r="W30" s="654"/>
      <c r="X30" s="457"/>
      <c r="Y30" s="668"/>
      <c r="Z30" s="666"/>
      <c r="AB30" s="861"/>
      <c r="AC30" s="862"/>
      <c r="AE30" s="640"/>
      <c r="AF30" s="457"/>
      <c r="AG30" s="457"/>
      <c r="AH30" s="457"/>
      <c r="AI30" s="457"/>
      <c r="AJ30" s="457"/>
      <c r="AK30" s="657"/>
      <c r="AL30" s="457"/>
      <c r="AM30" s="668"/>
      <c r="AN30" s="666"/>
      <c r="AQ30" s="1150"/>
    </row>
    <row r="31" spans="2:43" ht="16.2" thickBot="1" x14ac:dyDescent="0.35">
      <c r="B31" s="640"/>
      <c r="C31" s="457"/>
      <c r="D31" s="457"/>
      <c r="E31" s="457"/>
      <c r="F31" s="457"/>
      <c r="G31" s="457"/>
      <c r="H31" s="457"/>
      <c r="I31" s="457"/>
      <c r="J31" s="668"/>
      <c r="K31" s="666"/>
      <c r="R31" s="658"/>
      <c r="S31" s="659"/>
      <c r="T31" s="659"/>
      <c r="U31" s="659"/>
      <c r="V31" s="659"/>
      <c r="W31" s="844" t="str">
        <f>IF(Данные!U34=TRUE,"Протянуть модель до  размера","")</f>
        <v/>
      </c>
      <c r="X31" s="659"/>
      <c r="Y31" s="845"/>
      <c r="Z31" s="846"/>
      <c r="AB31" s="864"/>
      <c r="AC31" s="862"/>
      <c r="AE31" s="640"/>
      <c r="AF31" s="457"/>
      <c r="AG31" s="457"/>
      <c r="AH31" s="457"/>
      <c r="AI31" s="457"/>
      <c r="AJ31" s="457"/>
      <c r="AK31" s="657"/>
      <c r="AL31" s="457"/>
      <c r="AM31" s="668"/>
      <c r="AN31" s="666"/>
    </row>
    <row r="32" spans="2:43" x14ac:dyDescent="0.3">
      <c r="B32" s="640"/>
      <c r="C32" s="676"/>
      <c r="D32" s="676"/>
      <c r="E32" s="457"/>
      <c r="F32" s="677"/>
      <c r="G32" s="673"/>
      <c r="H32" s="457"/>
      <c r="I32" s="457"/>
      <c r="J32" s="668"/>
      <c r="K32" s="666"/>
      <c r="R32" s="647" t="s">
        <v>48</v>
      </c>
      <c r="S32" s="641"/>
      <c r="T32" s="641"/>
      <c r="U32" s="835"/>
      <c r="V32" s="641"/>
      <c r="W32" s="641" t="s">
        <v>49</v>
      </c>
      <c r="X32" s="641"/>
      <c r="Y32" s="873"/>
      <c r="Z32" s="874"/>
      <c r="AE32" s="640"/>
      <c r="AF32" s="676"/>
      <c r="AG32" s="676"/>
      <c r="AH32" s="457"/>
      <c r="AI32" s="677"/>
      <c r="AJ32" s="673"/>
      <c r="AK32" s="657"/>
      <c r="AL32" s="457"/>
      <c r="AM32" s="668"/>
      <c r="AN32" s="666"/>
    </row>
    <row r="33" spans="2:40" ht="16.2" thickBot="1" x14ac:dyDescent="0.35">
      <c r="B33" s="640"/>
      <c r="C33" s="676"/>
      <c r="D33" s="676"/>
      <c r="E33" s="457" t="str">
        <f>IF(Данные!F33=TRUE,"ХХХХХХХХХХХХХХХХХХХХХХХХХХХХХХХХХХХХХ","")</f>
        <v/>
      </c>
      <c r="F33" s="677"/>
      <c r="G33" s="673"/>
      <c r="H33" s="457"/>
      <c r="I33" s="457"/>
      <c r="J33" s="668"/>
      <c r="K33" s="666"/>
      <c r="M33" s="872"/>
      <c r="R33" s="640" t="s">
        <v>50</v>
      </c>
      <c r="S33" s="457"/>
      <c r="T33" s="457"/>
      <c r="U33" s="457" t="str">
        <f>VLOOKUP(V8,Данные!A3:I27,6,FALSE())</f>
        <v>25010.00173</v>
      </c>
      <c r="V33" s="457"/>
      <c r="W33" s="457" t="s">
        <v>51</v>
      </c>
      <c r="X33" s="457"/>
      <c r="Y33" s="457">
        <v>441</v>
      </c>
      <c r="Z33" s="666"/>
      <c r="AE33" s="640"/>
      <c r="AF33" s="676"/>
      <c r="AG33" s="676"/>
      <c r="AH33" s="457"/>
      <c r="AI33" s="677"/>
      <c r="AJ33" s="673"/>
      <c r="AK33" s="457"/>
      <c r="AL33" s="457"/>
      <c r="AM33" s="668"/>
      <c r="AN33" s="666"/>
    </row>
    <row r="34" spans="2:40" x14ac:dyDescent="0.3">
      <c r="B34" s="640"/>
      <c r="C34" s="457"/>
      <c r="D34" s="457"/>
      <c r="E34" s="457"/>
      <c r="F34" s="877" t="str">
        <f>IF(Данные!F34=TRUE,"Формовать в обратном порядке.   Протянуть модель до  размера  * ","")</f>
        <v/>
      </c>
      <c r="G34" s="674"/>
      <c r="I34" s="457"/>
      <c r="J34" s="668"/>
      <c r="K34" s="666"/>
      <c r="M34" s="647" t="s">
        <v>355</v>
      </c>
      <c r="N34" s="641"/>
      <c r="O34" s="641"/>
      <c r="P34" s="1021" t="s">
        <v>415</v>
      </c>
      <c r="R34" s="640" t="s">
        <v>52</v>
      </c>
      <c r="S34" s="457"/>
      <c r="T34" s="457"/>
      <c r="U34" s="878" t="str">
        <f>IF(AJ10&gt;1900,Данные!G4,Данные!G3)</f>
        <v>25011.00008</v>
      </c>
      <c r="V34" s="457"/>
      <c r="W34" s="457" t="s">
        <v>53</v>
      </c>
      <c r="X34" s="457" t="s">
        <v>54</v>
      </c>
      <c r="Y34" s="667"/>
      <c r="Z34" s="666"/>
      <c r="AB34" s="870" t="s">
        <v>379</v>
      </c>
      <c r="AC34" s="870"/>
      <c r="AE34" s="640"/>
      <c r="AF34" s="457"/>
      <c r="AG34" s="457"/>
      <c r="AI34" s="457"/>
      <c r="AJ34" s="674"/>
      <c r="AK34" s="678"/>
      <c r="AL34" s="457"/>
      <c r="AM34" s="668"/>
      <c r="AN34" s="666"/>
    </row>
    <row r="35" spans="2:40" ht="16.2" thickBot="1" x14ac:dyDescent="0.35">
      <c r="B35" s="640"/>
      <c r="C35" s="842" t="s">
        <v>359</v>
      </c>
      <c r="D35" s="843">
        <v>10</v>
      </c>
      <c r="E35" s="457"/>
      <c r="F35" s="636" t="str">
        <f>IF(Данные!C37=TRUE,"Модель нашить до размера Ø = "&amp;N3&amp;" мм.","")</f>
        <v/>
      </c>
      <c r="G35" s="636"/>
      <c r="H35" s="636"/>
      <c r="I35" s="636"/>
      <c r="J35" s="668"/>
      <c r="K35" s="666"/>
      <c r="M35" s="658" t="s">
        <v>1062</v>
      </c>
      <c r="N35" s="659"/>
      <c r="O35" s="659"/>
      <c r="P35" s="1022">
        <v>4</v>
      </c>
      <c r="R35" s="640" t="s">
        <v>942</v>
      </c>
      <c r="S35" s="457"/>
      <c r="T35" s="457"/>
      <c r="U35" s="841" t="s">
        <v>810</v>
      </c>
      <c r="V35" s="457"/>
      <c r="W35" s="457" t="s">
        <v>55</v>
      </c>
      <c r="X35" s="457" t="s">
        <v>56</v>
      </c>
      <c r="Y35" s="668"/>
      <c r="Z35" s="664"/>
      <c r="AB35" s="871" t="s">
        <v>813</v>
      </c>
      <c r="AC35" s="871" t="s">
        <v>812</v>
      </c>
      <c r="AE35" s="640"/>
      <c r="AF35" s="842" t="s">
        <v>359</v>
      </c>
      <c r="AG35" s="843">
        <v>10</v>
      </c>
      <c r="AH35" s="646"/>
      <c r="AI35" s="457"/>
      <c r="AJ35" s="457"/>
      <c r="AK35" s="654"/>
      <c r="AL35" s="457"/>
      <c r="AM35" s="668"/>
      <c r="AN35" s="666"/>
    </row>
    <row r="36" spans="2:40" ht="16.2" thickBot="1" x14ac:dyDescent="0.35">
      <c r="B36" s="658"/>
      <c r="C36" s="659"/>
      <c r="D36" s="659"/>
      <c r="E36" s="659"/>
      <c r="F36" s="659"/>
      <c r="G36" s="659"/>
      <c r="H36" s="659"/>
      <c r="I36" s="659"/>
      <c r="J36" s="845"/>
      <c r="K36" s="846"/>
      <c r="R36" s="640" t="s">
        <v>57</v>
      </c>
      <c r="S36" s="457"/>
      <c r="T36" s="457"/>
      <c r="U36" s="654" t="s">
        <v>58</v>
      </c>
      <c r="V36" s="457"/>
      <c r="W36" s="457" t="s">
        <v>59</v>
      </c>
      <c r="X36" s="457"/>
      <c r="Y36" s="669"/>
      <c r="Z36" s="664"/>
      <c r="AB36" s="870" t="s">
        <v>968</v>
      </c>
      <c r="AC36" s="870"/>
      <c r="AE36" s="658"/>
      <c r="AF36" s="659"/>
      <c r="AG36" s="659"/>
      <c r="AH36" s="659"/>
      <c r="AI36" s="659"/>
      <c r="AJ36" s="659"/>
      <c r="AK36" s="844" t="str">
        <f>IF(Данные!AI34=TRUE,"Протянуть модель до  размера","")</f>
        <v/>
      </c>
      <c r="AL36" s="659"/>
      <c r="AM36" s="845"/>
      <c r="AN36" s="846"/>
    </row>
    <row r="37" spans="2:40" x14ac:dyDescent="0.3">
      <c r="B37" s="640" t="s">
        <v>48</v>
      </c>
      <c r="C37" s="457"/>
      <c r="D37" s="457"/>
      <c r="E37" s="457"/>
      <c r="F37" s="654"/>
      <c r="G37" s="457"/>
      <c r="I37" s="457" t="s">
        <v>49</v>
      </c>
      <c r="J37" s="668"/>
      <c r="K37" s="666"/>
      <c r="R37" s="640" t="s">
        <v>60</v>
      </c>
      <c r="S37" s="457"/>
      <c r="T37" s="457"/>
      <c r="U37" s="679">
        <v>1.4999999999999999E-2</v>
      </c>
      <c r="V37" s="457"/>
      <c r="W37" s="457" t="s">
        <v>61</v>
      </c>
      <c r="X37" s="457"/>
      <c r="Y37" s="663"/>
      <c r="Z37" s="664"/>
      <c r="AB37" s="642" t="s">
        <v>813</v>
      </c>
      <c r="AC37" s="642" t="s">
        <v>812</v>
      </c>
      <c r="AE37" s="640" t="s">
        <v>48</v>
      </c>
      <c r="AF37" s="457"/>
      <c r="AG37" s="457"/>
      <c r="AH37" s="457"/>
      <c r="AI37" s="654"/>
      <c r="AJ37" s="457"/>
      <c r="AL37" s="457" t="s">
        <v>49</v>
      </c>
      <c r="AM37" s="668"/>
      <c r="AN37" s="666"/>
    </row>
    <row r="38" spans="2:40" x14ac:dyDescent="0.3">
      <c r="B38" s="640" t="s">
        <v>50</v>
      </c>
      <c r="C38" s="457"/>
      <c r="D38" s="457"/>
      <c r="E38" s="457"/>
      <c r="F38" s="828" t="str">
        <f>VLOOKUP(G8,Данные!A3:I27,6,FALSE())</f>
        <v>25010.00176</v>
      </c>
      <c r="G38" s="457"/>
      <c r="I38" s="457" t="s">
        <v>51</v>
      </c>
      <c r="J38" s="642">
        <f>ROUNDUP(I28*I28*3.1415296*(H26+F22+15+(D22/0.985))*2.045/4000000,0)</f>
        <v>70</v>
      </c>
      <c r="K38" s="847" t="s">
        <v>406</v>
      </c>
      <c r="R38" s="640" t="s">
        <v>55</v>
      </c>
      <c r="S38" s="457"/>
      <c r="T38" s="457"/>
      <c r="U38" s="654" t="s">
        <v>56</v>
      </c>
      <c r="V38" s="646"/>
      <c r="W38" s="457" t="s">
        <v>62</v>
      </c>
      <c r="X38" s="457"/>
      <c r="Y38" s="457"/>
      <c r="Z38" s="644"/>
      <c r="AE38" s="640" t="s">
        <v>50</v>
      </c>
      <c r="AF38" s="457"/>
      <c r="AG38" s="457"/>
      <c r="AH38" s="457"/>
      <c r="AI38" s="828" t="str">
        <f>VLOOKUP(AJ8,Данные!A3:I27,6,FALSE())</f>
        <v>25010.00176</v>
      </c>
      <c r="AJ38" s="457"/>
      <c r="AL38" s="457" t="s">
        <v>51</v>
      </c>
      <c r="AM38" s="642">
        <f>ROUNDUP(AQ4*0.994*AQ4*0.994*3.1415296*(AL26+AQ5+AQ7+5)*2.045/4000000,0)</f>
        <v>2273</v>
      </c>
      <c r="AN38" s="847" t="s">
        <v>406</v>
      </c>
    </row>
    <row r="39" spans="2:40" x14ac:dyDescent="0.3">
      <c r="B39" s="640" t="s">
        <v>52</v>
      </c>
      <c r="C39" s="457"/>
      <c r="D39" s="457"/>
      <c r="E39" s="457"/>
      <c r="F39" s="848" t="str">
        <f>IF(G13&gt;1900,Данные!G4,Данные!G3)</f>
        <v>25011.00007</v>
      </c>
      <c r="G39" s="457"/>
      <c r="I39" s="457" t="s">
        <v>53</v>
      </c>
      <c r="J39" s="657" t="s">
        <v>54</v>
      </c>
      <c r="K39" s="666"/>
      <c r="R39" s="640" t="s">
        <v>808</v>
      </c>
      <c r="S39" s="457"/>
      <c r="T39" s="457"/>
      <c r="U39" s="457" t="s">
        <v>811</v>
      </c>
      <c r="V39" s="654"/>
      <c r="W39" s="457" t="s">
        <v>64</v>
      </c>
      <c r="X39" s="457"/>
      <c r="Y39" s="457"/>
      <c r="Z39" s="644"/>
      <c r="AC39" s="642">
        <v>4844205002</v>
      </c>
      <c r="AE39" s="640" t="s">
        <v>52</v>
      </c>
      <c r="AF39" s="457"/>
      <c r="AG39" s="457"/>
      <c r="AH39" s="457"/>
      <c r="AI39" s="848" t="str">
        <f>IF(AJ13&gt;1900,Данные!G4,Данные!G3)</f>
        <v>25011.00008</v>
      </c>
      <c r="AJ39" s="457"/>
      <c r="AL39" s="457" t="s">
        <v>53</v>
      </c>
      <c r="AM39" s="657" t="s">
        <v>54</v>
      </c>
      <c r="AN39" s="666"/>
    </row>
    <row r="40" spans="2:40" x14ac:dyDescent="0.3">
      <c r="B40" s="640" t="s">
        <v>942</v>
      </c>
      <c r="C40" s="457"/>
      <c r="D40" s="457"/>
      <c r="E40" s="457"/>
      <c r="F40" s="841" t="str">
        <f>Данные!H34</f>
        <v>1080-1100</v>
      </c>
      <c r="G40" s="457" t="s">
        <v>799</v>
      </c>
      <c r="I40" s="457" t="s">
        <v>55</v>
      </c>
      <c r="J40" s="657" t="s">
        <v>56</v>
      </c>
      <c r="K40" s="664"/>
      <c r="R40" s="640"/>
      <c r="S40" s="457"/>
      <c r="U40" s="654" t="s">
        <v>809</v>
      </c>
      <c r="V40" s="649"/>
      <c r="W40" s="457" t="s">
        <v>65</v>
      </c>
      <c r="X40" s="457"/>
      <c r="Y40" s="457"/>
      <c r="Z40" s="644"/>
      <c r="AB40" s="642" t="s">
        <v>667</v>
      </c>
      <c r="AC40" s="870" t="s">
        <v>659</v>
      </c>
      <c r="AE40" s="640" t="s">
        <v>942</v>
      </c>
      <c r="AF40" s="457"/>
      <c r="AG40" s="457"/>
      <c r="AH40" s="457"/>
      <c r="AI40" s="841" t="s">
        <v>131</v>
      </c>
      <c r="AJ40" s="457" t="s">
        <v>799</v>
      </c>
      <c r="AL40" s="457" t="s">
        <v>55</v>
      </c>
      <c r="AM40" s="657" t="s">
        <v>56</v>
      </c>
      <c r="AN40" s="664"/>
    </row>
    <row r="41" spans="2:40" x14ac:dyDescent="0.3">
      <c r="B41" s="640" t="s">
        <v>57</v>
      </c>
      <c r="C41" s="457"/>
      <c r="D41" s="457"/>
      <c r="E41" s="457"/>
      <c r="F41" s="654" t="s">
        <v>58</v>
      </c>
      <c r="G41" s="457"/>
      <c r="I41" s="457" t="s">
        <v>59</v>
      </c>
      <c r="J41" s="669"/>
      <c r="K41" s="664"/>
      <c r="R41" s="640"/>
      <c r="S41" s="457"/>
      <c r="U41" s="654"/>
      <c r="V41" s="649"/>
      <c r="W41" s="457"/>
      <c r="X41" s="457"/>
      <c r="Y41" s="457"/>
      <c r="Z41" s="644"/>
      <c r="AB41" s="828">
        <v>30</v>
      </c>
      <c r="AC41" s="870" t="s">
        <v>381</v>
      </c>
      <c r="AE41" s="640" t="s">
        <v>57</v>
      </c>
      <c r="AF41" s="457"/>
      <c r="AG41" s="457"/>
      <c r="AH41" s="457"/>
      <c r="AI41" s="654" t="s">
        <v>58</v>
      </c>
      <c r="AJ41" s="457"/>
      <c r="AL41" s="457" t="s">
        <v>59</v>
      </c>
      <c r="AM41" s="669"/>
      <c r="AN41" s="664"/>
    </row>
    <row r="42" spans="2:40" x14ac:dyDescent="0.3">
      <c r="B42" s="640" t="s">
        <v>53</v>
      </c>
      <c r="C42" s="457"/>
      <c r="D42" s="457"/>
      <c r="E42" s="457"/>
      <c r="F42" s="679" t="s">
        <v>54</v>
      </c>
      <c r="G42" s="457"/>
      <c r="I42" s="457" t="s">
        <v>61</v>
      </c>
      <c r="J42" s="663"/>
      <c r="K42" s="664"/>
      <c r="R42" s="640"/>
      <c r="S42" s="636"/>
      <c r="T42" s="636"/>
      <c r="U42" s="654"/>
      <c r="V42" s="671"/>
      <c r="W42" s="636"/>
      <c r="X42" s="457"/>
      <c r="Y42" s="457"/>
      <c r="Z42" s="644"/>
      <c r="AB42" s="875">
        <v>125</v>
      </c>
      <c r="AC42" s="870" t="s">
        <v>382</v>
      </c>
      <c r="AE42" s="640" t="s">
        <v>53</v>
      </c>
      <c r="AF42" s="457"/>
      <c r="AG42" s="457"/>
      <c r="AH42" s="457"/>
      <c r="AI42" s="679" t="s">
        <v>54</v>
      </c>
      <c r="AJ42" s="457"/>
      <c r="AL42" s="457" t="s">
        <v>61</v>
      </c>
      <c r="AM42" s="663"/>
      <c r="AN42" s="664"/>
    </row>
    <row r="43" spans="2:40" ht="16.2" thickBot="1" x14ac:dyDescent="0.35">
      <c r="B43" s="640" t="s">
        <v>55</v>
      </c>
      <c r="C43" s="457"/>
      <c r="D43" s="457"/>
      <c r="E43" s="457"/>
      <c r="F43" s="654" t="s">
        <v>56</v>
      </c>
      <c r="G43" s="646"/>
      <c r="I43" s="457" t="s">
        <v>62</v>
      </c>
      <c r="J43" s="457"/>
      <c r="K43" s="644"/>
      <c r="R43" s="658"/>
      <c r="S43" s="659" t="s">
        <v>66</v>
      </c>
      <c r="T43" s="659"/>
      <c r="U43" s="686"/>
      <c r="V43" s="686" t="s">
        <v>67</v>
      </c>
      <c r="W43" s="659"/>
      <c r="X43" s="659"/>
      <c r="Y43" s="659"/>
      <c r="Z43" s="687"/>
      <c r="AC43" s="876" t="s">
        <v>658</v>
      </c>
      <c r="AE43" s="640" t="s">
        <v>55</v>
      </c>
      <c r="AF43" s="457"/>
      <c r="AG43" s="457"/>
      <c r="AH43" s="457"/>
      <c r="AI43" s="654" t="s">
        <v>56</v>
      </c>
      <c r="AJ43" s="646"/>
      <c r="AL43" s="457" t="s">
        <v>62</v>
      </c>
      <c r="AM43" s="457"/>
      <c r="AN43" s="644"/>
    </row>
    <row r="44" spans="2:40" ht="16.2" thickBot="1" x14ac:dyDescent="0.35">
      <c r="B44" s="640" t="s">
        <v>63</v>
      </c>
      <c r="C44" s="457"/>
      <c r="D44" s="457"/>
      <c r="E44" s="457"/>
      <c r="F44" s="841" t="str">
        <f>Данные!B30</f>
        <v>242.04.464-1</v>
      </c>
      <c r="G44" s="654" t="str">
        <f>IF(OR(Данные!G37="242.04.462",Данные!D30="242.04.462"),IF(Втулка!J28&gt;=1000," (две щели)"," (одна щель)"),"")</f>
        <v/>
      </c>
      <c r="I44" s="457" t="s">
        <v>800</v>
      </c>
      <c r="J44" s="457"/>
      <c r="K44" s="644"/>
      <c r="R44" s="647"/>
      <c r="S44" s="641" t="s">
        <v>68</v>
      </c>
      <c r="T44" s="648"/>
      <c r="U44" s="680" t="s">
        <v>69</v>
      </c>
      <c r="V44" s="681" t="s">
        <v>68</v>
      </c>
      <c r="W44" s="648"/>
      <c r="X44" s="641" t="s">
        <v>70</v>
      </c>
      <c r="Y44" s="641"/>
      <c r="Z44" s="648"/>
      <c r="AE44" s="640" t="s">
        <v>63</v>
      </c>
      <c r="AF44" s="457"/>
      <c r="AG44" s="457"/>
      <c r="AH44" s="457"/>
      <c r="AI44" s="841" t="s">
        <v>1289</v>
      </c>
      <c r="AJ44" s="654"/>
      <c r="AL44" s="457" t="s">
        <v>800</v>
      </c>
      <c r="AM44" s="457"/>
      <c r="AN44" s="644"/>
    </row>
    <row r="45" spans="2:40" ht="18.600000000000001" thickBot="1" x14ac:dyDescent="0.4">
      <c r="B45" s="640" t="s">
        <v>1298</v>
      </c>
      <c r="C45" s="457"/>
      <c r="D45" s="1760">
        <f>Данные!N248</f>
        <v>700</v>
      </c>
      <c r="E45" s="1760" t="str">
        <f>" Х "&amp;Данные!O248</f>
        <v xml:space="preserve"> Х 700</v>
      </c>
      <c r="F45" s="1761" t="str">
        <f>" Х "&amp;Данные!P248&amp;"  /  1 шт."</f>
        <v xml:space="preserve"> Х 200  /  1 шт.</v>
      </c>
      <c r="G45" s="1762"/>
      <c r="H45" s="1763"/>
      <c r="I45" s="457" t="s">
        <v>65</v>
      </c>
      <c r="J45" s="457"/>
      <c r="K45" s="644"/>
      <c r="R45" s="1493">
        <f ca="1">TODAY()</f>
        <v>45420</v>
      </c>
      <c r="S45" s="1493"/>
      <c r="T45" s="684"/>
      <c r="U45" s="682" t="s">
        <v>265</v>
      </c>
      <c r="V45" s="683"/>
      <c r="W45" s="684"/>
      <c r="X45" s="685" t="s">
        <v>266</v>
      </c>
      <c r="Y45" s="685"/>
      <c r="Z45" s="684"/>
      <c r="AE45" s="640" t="s">
        <v>60</v>
      </c>
      <c r="AF45" s="457"/>
      <c r="AG45" s="457"/>
      <c r="AH45" s="457"/>
      <c r="AI45" s="679">
        <v>1.4999999999999999E-2</v>
      </c>
      <c r="AJ45" s="649"/>
      <c r="AL45" s="457" t="s">
        <v>65</v>
      </c>
      <c r="AM45" s="457"/>
      <c r="AN45" s="644"/>
    </row>
    <row r="46" spans="2:40" ht="18.600000000000001" thickBot="1" x14ac:dyDescent="0.4">
      <c r="B46" s="1764" t="s">
        <v>1299</v>
      </c>
      <c r="C46" s="1765"/>
      <c r="D46" s="1760" t="str">
        <f>IF(Данные!O251&gt;0,Данные!N251&amp;" мм. "&amp;" / "&amp;Данные!O251&amp;" шт.")</f>
        <v>350 мм.  / 1 шт.</v>
      </c>
      <c r="E46" s="1760"/>
      <c r="F46" s="1761" t="str">
        <f>IF(Данные!O252&gt;0," / "&amp;Данные!N252&amp;" мм. / "&amp;Данные!O252&amp;" шт.","")</f>
        <v xml:space="preserve"> / 200 мм. / 1 шт.</v>
      </c>
      <c r="G46" s="1762"/>
      <c r="H46" s="1763"/>
      <c r="I46" s="457"/>
      <c r="J46" s="457"/>
      <c r="K46" s="644"/>
      <c r="R46" s="658"/>
      <c r="S46" s="659" t="s">
        <v>71</v>
      </c>
      <c r="T46" s="684"/>
      <c r="U46" s="849"/>
      <c r="V46" s="659"/>
      <c r="W46" s="659"/>
      <c r="X46" s="659"/>
      <c r="Y46" s="659"/>
      <c r="Z46" s="687"/>
      <c r="AE46" s="640"/>
      <c r="AF46" s="636"/>
      <c r="AG46" s="636"/>
      <c r="AH46" s="636"/>
      <c r="AI46" s="671"/>
      <c r="AJ46" s="671"/>
      <c r="AK46" s="636"/>
      <c r="AL46" s="457"/>
      <c r="AM46" s="457"/>
      <c r="AN46" s="644"/>
    </row>
    <row r="47" spans="2:40" ht="16.2" thickBot="1" x14ac:dyDescent="0.35">
      <c r="B47" s="640" t="s">
        <v>60</v>
      </c>
      <c r="C47" s="457"/>
      <c r="D47" s="457"/>
      <c r="E47" s="457"/>
      <c r="F47" s="679">
        <v>1.4999999999999999E-2</v>
      </c>
      <c r="G47" s="649"/>
      <c r="K47" s="644"/>
      <c r="R47" s="640"/>
      <c r="S47" s="457"/>
      <c r="T47" s="457"/>
      <c r="U47" s="457"/>
      <c r="V47" s="457"/>
      <c r="W47" s="457"/>
      <c r="X47" s="457"/>
      <c r="Y47" s="457"/>
      <c r="Z47" s="644"/>
      <c r="AE47" s="640"/>
      <c r="AF47" s="457" t="s">
        <v>66</v>
      </c>
      <c r="AG47" s="457"/>
      <c r="AH47" s="457"/>
      <c r="AI47" s="654"/>
      <c r="AJ47" s="654" t="s">
        <v>67</v>
      </c>
      <c r="AK47" s="457"/>
      <c r="AL47" s="457"/>
      <c r="AM47" s="457"/>
      <c r="AN47" s="644"/>
    </row>
    <row r="48" spans="2:40" ht="16.2" thickBot="1" x14ac:dyDescent="0.35">
      <c r="B48" s="640"/>
      <c r="C48" s="636"/>
      <c r="D48" s="636"/>
      <c r="E48" s="636"/>
      <c r="F48" s="671"/>
      <c r="G48" s="671"/>
      <c r="H48" s="636"/>
      <c r="I48" s="457"/>
      <c r="J48" s="457"/>
      <c r="K48" s="644"/>
      <c r="R48" s="1494" t="s">
        <v>6</v>
      </c>
      <c r="S48" s="1495"/>
      <c r="T48" s="1496"/>
      <c r="U48" s="691" t="s">
        <v>297</v>
      </c>
      <c r="V48" s="692" t="s">
        <v>298</v>
      </c>
      <c r="W48" s="691" t="s">
        <v>298</v>
      </c>
      <c r="X48" s="691" t="s">
        <v>299</v>
      </c>
      <c r="Y48" s="688" t="s">
        <v>300</v>
      </c>
      <c r="Z48" s="690"/>
      <c r="AB48" s="642">
        <f>ROUND(Y33*3.5/1000,3)</f>
        <v>1.544</v>
      </c>
      <c r="AE48" s="1500" t="s">
        <v>68</v>
      </c>
      <c r="AF48" s="1501"/>
      <c r="AG48" s="1501"/>
      <c r="AH48" s="1755"/>
      <c r="AI48" s="680" t="s">
        <v>69</v>
      </c>
      <c r="AJ48" s="681" t="s">
        <v>68</v>
      </c>
      <c r="AK48" s="648"/>
      <c r="AL48" s="641" t="s">
        <v>70</v>
      </c>
      <c r="AM48" s="641"/>
      <c r="AN48" s="648"/>
    </row>
    <row r="49" spans="2:41" ht="16.2" thickBot="1" x14ac:dyDescent="0.35">
      <c r="B49" s="640"/>
      <c r="C49" s="457" t="s">
        <v>66</v>
      </c>
      <c r="D49" s="457"/>
      <c r="E49" s="457"/>
      <c r="F49" s="654"/>
      <c r="G49" s="654" t="s">
        <v>67</v>
      </c>
      <c r="H49" s="457"/>
      <c r="I49" s="457"/>
      <c r="J49" s="457"/>
      <c r="K49" s="644"/>
      <c r="R49" s="1497" t="s">
        <v>301</v>
      </c>
      <c r="S49" s="1498"/>
      <c r="T49" s="1499"/>
      <c r="U49" s="696" t="s">
        <v>302</v>
      </c>
      <c r="V49" s="696" t="s">
        <v>303</v>
      </c>
      <c r="W49" s="696" t="s">
        <v>304</v>
      </c>
      <c r="X49" s="696"/>
      <c r="Y49" s="697" t="s">
        <v>305</v>
      </c>
      <c r="Z49" s="695"/>
      <c r="AE49" s="1493">
        <f ca="1">TODAY()</f>
        <v>45420</v>
      </c>
      <c r="AF49" s="1508"/>
      <c r="AG49" s="1508"/>
      <c r="AH49" s="1509"/>
      <c r="AI49" s="682" t="s">
        <v>265</v>
      </c>
      <c r="AJ49" s="683"/>
      <c r="AK49" s="684"/>
      <c r="AL49" s="685" t="s">
        <v>266</v>
      </c>
      <c r="AM49" s="685"/>
      <c r="AN49" s="684"/>
    </row>
    <row r="50" spans="2:41" ht="16.2" thickBot="1" x14ac:dyDescent="0.35">
      <c r="B50" s="647"/>
      <c r="C50" s="641" t="s">
        <v>68</v>
      </c>
      <c r="D50" s="641"/>
      <c r="E50" s="648"/>
      <c r="F50" s="680" t="s">
        <v>69</v>
      </c>
      <c r="G50" s="681" t="s">
        <v>68</v>
      </c>
      <c r="H50" s="648"/>
      <c r="I50" s="641" t="s">
        <v>70</v>
      </c>
      <c r="J50" s="641"/>
      <c r="K50" s="648"/>
      <c r="R50" s="693"/>
      <c r="S50" s="694" t="s">
        <v>405</v>
      </c>
      <c r="T50" s="694"/>
      <c r="U50" s="698">
        <v>40</v>
      </c>
      <c r="V50" s="699">
        <v>1</v>
      </c>
      <c r="W50" s="698">
        <v>20</v>
      </c>
      <c r="X50" s="696">
        <v>3</v>
      </c>
      <c r="Y50" s="1491">
        <f>ROUND(V13/AB50,3)</f>
        <v>7.2640000000000002</v>
      </c>
      <c r="Z50" s="1492"/>
      <c r="AB50" s="879">
        <v>201</v>
      </c>
      <c r="AE50" s="1500" t="s">
        <v>71</v>
      </c>
      <c r="AF50" s="1501"/>
      <c r="AG50" s="1501"/>
      <c r="AH50" s="1755"/>
      <c r="AI50" s="849"/>
      <c r="AJ50" s="659"/>
      <c r="AK50" s="659"/>
      <c r="AL50" s="659"/>
      <c r="AM50" s="659"/>
      <c r="AN50" s="687"/>
    </row>
    <row r="51" spans="2:41" ht="16.2" thickBot="1" x14ac:dyDescent="0.35">
      <c r="B51" s="1493">
        <f ca="1">TODAY()</f>
        <v>45420</v>
      </c>
      <c r="C51" s="1493"/>
      <c r="D51" s="779"/>
      <c r="E51" s="684"/>
      <c r="F51" s="682" t="s">
        <v>265</v>
      </c>
      <c r="G51" s="683"/>
      <c r="H51" s="684"/>
      <c r="I51" s="685" t="s">
        <v>266</v>
      </c>
      <c r="J51" s="685"/>
      <c r="K51" s="684"/>
      <c r="R51" s="693"/>
      <c r="S51" s="694" t="s">
        <v>49</v>
      </c>
      <c r="T51" s="694"/>
      <c r="U51" s="700">
        <v>40</v>
      </c>
      <c r="V51" s="701">
        <v>1</v>
      </c>
      <c r="W51" s="700">
        <v>20</v>
      </c>
      <c r="X51" s="696">
        <v>4</v>
      </c>
      <c r="Y51" s="1491">
        <f>ROUND(V14/AB51,3)</f>
        <v>4.33</v>
      </c>
      <c r="Z51" s="1492"/>
      <c r="AB51" s="879">
        <v>351</v>
      </c>
      <c r="AE51" s="1500"/>
      <c r="AF51" s="1501"/>
      <c r="AG51" s="1501"/>
      <c r="AH51" s="1501"/>
      <c r="AI51" s="457"/>
      <c r="AJ51" s="457"/>
      <c r="AK51" s="457"/>
      <c r="AL51" s="457"/>
      <c r="AM51" s="457"/>
      <c r="AN51" s="644"/>
    </row>
    <row r="52" spans="2:41" ht="16.2" thickBot="1" x14ac:dyDescent="0.35">
      <c r="B52" s="1500" t="s">
        <v>71</v>
      </c>
      <c r="C52" s="1501"/>
      <c r="D52" s="659"/>
      <c r="E52" s="684"/>
      <c r="F52" s="849"/>
      <c r="G52" s="659"/>
      <c r="H52" s="659"/>
      <c r="I52" s="659"/>
      <c r="J52" s="659"/>
      <c r="K52" s="687"/>
      <c r="AE52" s="1494" t="s">
        <v>6</v>
      </c>
      <c r="AF52" s="1495"/>
      <c r="AG52" s="1495"/>
      <c r="AH52" s="1496"/>
      <c r="AI52" s="691" t="s">
        <v>297</v>
      </c>
      <c r="AJ52" s="692" t="s">
        <v>298</v>
      </c>
      <c r="AK52" s="691" t="s">
        <v>298</v>
      </c>
      <c r="AL52" s="691" t="s">
        <v>299</v>
      </c>
      <c r="AM52" s="1491" t="s">
        <v>300</v>
      </c>
      <c r="AN52" s="1492"/>
    </row>
    <row r="53" spans="2:41" ht="16.2" thickBot="1" x14ac:dyDescent="0.35">
      <c r="B53" s="640"/>
      <c r="C53" s="457"/>
      <c r="D53" s="457"/>
      <c r="E53" s="457"/>
      <c r="F53" s="457"/>
      <c r="G53" s="457"/>
      <c r="H53" s="457"/>
      <c r="I53" s="457"/>
      <c r="J53" s="457"/>
      <c r="K53" s="644"/>
      <c r="P53" s="662"/>
      <c r="AE53" s="1497" t="s">
        <v>301</v>
      </c>
      <c r="AF53" s="1498"/>
      <c r="AG53" s="1498"/>
      <c r="AH53" s="1499"/>
      <c r="AI53" s="696" t="s">
        <v>302</v>
      </c>
      <c r="AJ53" s="696" t="s">
        <v>303</v>
      </c>
      <c r="AK53" s="696" t="s">
        <v>304</v>
      </c>
      <c r="AL53" s="696"/>
      <c r="AM53" s="1491" t="s">
        <v>305</v>
      </c>
      <c r="AN53" s="1492"/>
    </row>
    <row r="54" spans="2:41" ht="16.2" thickBot="1" x14ac:dyDescent="0.35">
      <c r="B54" s="1494" t="s">
        <v>6</v>
      </c>
      <c r="C54" s="1495"/>
      <c r="D54" s="1495"/>
      <c r="E54" s="1496"/>
      <c r="F54" s="691" t="s">
        <v>297</v>
      </c>
      <c r="G54" s="692" t="s">
        <v>298</v>
      </c>
      <c r="H54" s="691" t="s">
        <v>298</v>
      </c>
      <c r="I54" s="691" t="s">
        <v>299</v>
      </c>
      <c r="J54" s="1491" t="s">
        <v>300</v>
      </c>
      <c r="K54" s="1492"/>
      <c r="P54" s="1768"/>
      <c r="S54" s="655"/>
      <c r="T54" s="655"/>
      <c r="U54" s="655"/>
      <c r="V54" s="655"/>
      <c r="W54" s="655"/>
      <c r="X54" s="655"/>
      <c r="Y54" s="655"/>
      <c r="Z54" s="655"/>
      <c r="AE54" s="1491" t="s">
        <v>405</v>
      </c>
      <c r="AF54" s="1754"/>
      <c r="AG54" s="1754"/>
      <c r="AH54" s="1492"/>
      <c r="AI54" s="698">
        <v>40</v>
      </c>
      <c r="AJ54" s="699">
        <v>1</v>
      </c>
      <c r="AK54" s="698">
        <v>20</v>
      </c>
      <c r="AL54" s="696">
        <v>3</v>
      </c>
      <c r="AM54" s="1491">
        <f>ROUND(2500*2500*(750)/1000000*2.045*2.3/1000,3)</f>
        <v>22.047999999999998</v>
      </c>
      <c r="AN54" s="1492"/>
      <c r="AO54" s="880">
        <v>226</v>
      </c>
    </row>
    <row r="55" spans="2:41" ht="16.2" thickBot="1" x14ac:dyDescent="0.35">
      <c r="B55" s="1497" t="s">
        <v>301</v>
      </c>
      <c r="C55" s="1498"/>
      <c r="D55" s="1498"/>
      <c r="E55" s="1499"/>
      <c r="F55" s="696" t="s">
        <v>302</v>
      </c>
      <c r="G55" s="696" t="s">
        <v>303</v>
      </c>
      <c r="H55" s="696" t="s">
        <v>304</v>
      </c>
      <c r="I55" s="696"/>
      <c r="J55" s="1491" t="s">
        <v>305</v>
      </c>
      <c r="K55" s="1492"/>
      <c r="P55" s="457"/>
      <c r="S55" s="655"/>
      <c r="T55" s="184"/>
      <c r="U55" s="60"/>
      <c r="V55" s="60"/>
      <c r="W55" s="184"/>
      <c r="X55" s="184"/>
      <c r="Y55" s="60"/>
      <c r="Z55" s="655"/>
      <c r="AE55" s="1491" t="s">
        <v>49</v>
      </c>
      <c r="AF55" s="1754"/>
      <c r="AG55" s="1754"/>
      <c r="AH55" s="1492"/>
      <c r="AI55" s="700">
        <v>40</v>
      </c>
      <c r="AJ55" s="701">
        <v>1</v>
      </c>
      <c r="AK55" s="700">
        <v>20</v>
      </c>
      <c r="AL55" s="696">
        <v>4</v>
      </c>
      <c r="AM55" s="1491">
        <f>ROUND(AM38/1000*3.5/AJ17,3)</f>
        <v>7.9560000000000004</v>
      </c>
      <c r="AN55" s="1492"/>
      <c r="AO55" s="880">
        <v>290</v>
      </c>
    </row>
    <row r="56" spans="2:41" ht="16.2" thickBot="1" x14ac:dyDescent="0.35">
      <c r="B56" s="983"/>
      <c r="C56" s="701" t="s">
        <v>405</v>
      </c>
      <c r="D56" s="701"/>
      <c r="E56" s="982"/>
      <c r="F56" s="698">
        <v>40</v>
      </c>
      <c r="G56" s="699">
        <v>1</v>
      </c>
      <c r="H56" s="698">
        <v>20</v>
      </c>
      <c r="I56" s="696">
        <v>3</v>
      </c>
      <c r="J56" s="1491">
        <f>ROUND(Данные!N248*Данные!O248*(Данные!N257)/1000000*2.045*2.3/1000/G17,3)</f>
        <v>1.7290000000000001</v>
      </c>
      <c r="K56" s="1492"/>
      <c r="P56" s="457"/>
      <c r="S56" s="655"/>
      <c r="T56" s="184"/>
      <c r="U56" s="184"/>
      <c r="V56" s="184"/>
      <c r="W56" s="184"/>
      <c r="X56" s="184"/>
      <c r="Y56" s="60"/>
      <c r="Z56" s="655"/>
    </row>
    <row r="57" spans="2:41" ht="16.2" thickBot="1" x14ac:dyDescent="0.35">
      <c r="B57" s="693"/>
      <c r="C57" s="694" t="s">
        <v>49</v>
      </c>
      <c r="D57" s="694"/>
      <c r="E57" s="694"/>
      <c r="F57" s="700">
        <v>40</v>
      </c>
      <c r="G57" s="701">
        <v>1</v>
      </c>
      <c r="H57" s="700">
        <v>20</v>
      </c>
      <c r="I57" s="696">
        <v>4</v>
      </c>
      <c r="J57" s="1491">
        <f>ROUND(J38/1000*3.5/G18,3)</f>
        <v>0.245</v>
      </c>
      <c r="K57" s="1492"/>
      <c r="S57" s="655"/>
      <c r="T57" s="184"/>
      <c r="U57" s="184"/>
      <c r="V57" s="184"/>
      <c r="W57" s="184"/>
      <c r="X57" s="184"/>
      <c r="Y57" s="774"/>
      <c r="Z57" s="655"/>
    </row>
    <row r="58" spans="2:41" x14ac:dyDescent="0.3">
      <c r="K58" s="457"/>
      <c r="S58" s="655"/>
      <c r="T58" s="184"/>
      <c r="U58" s="184"/>
      <c r="V58" s="184"/>
      <c r="W58" s="184"/>
      <c r="X58" s="184"/>
      <c r="Y58" s="774"/>
      <c r="Z58" s="655"/>
    </row>
    <row r="59" spans="2:41" x14ac:dyDescent="0.3">
      <c r="K59" s="457"/>
      <c r="S59" s="655"/>
      <c r="T59" s="184"/>
      <c r="U59" s="184"/>
      <c r="V59" s="184"/>
      <c r="W59" s="184"/>
      <c r="X59" s="184"/>
      <c r="Y59" s="774"/>
      <c r="Z59" s="655"/>
    </row>
    <row r="60" spans="2:41" x14ac:dyDescent="0.3">
      <c r="K60" s="457"/>
      <c r="S60" s="655"/>
      <c r="T60" s="184"/>
      <c r="U60" s="184"/>
      <c r="V60" s="184"/>
      <c r="W60" s="184"/>
      <c r="X60" s="184"/>
      <c r="Y60" s="774"/>
      <c r="Z60" s="655"/>
    </row>
    <row r="61" spans="2:41" x14ac:dyDescent="0.3">
      <c r="S61" s="655"/>
      <c r="T61" s="184"/>
      <c r="U61" s="184"/>
      <c r="V61" s="184"/>
      <c r="W61" s="184"/>
      <c r="X61" s="184"/>
      <c r="Y61" s="774"/>
      <c r="Z61" s="655"/>
    </row>
    <row r="62" spans="2:41" x14ac:dyDescent="0.3">
      <c r="S62" s="655"/>
      <c r="T62" s="184"/>
      <c r="U62" s="184"/>
      <c r="V62" s="184"/>
      <c r="W62" s="184"/>
      <c r="X62" s="1201"/>
      <c r="Y62" s="774"/>
      <c r="Z62" s="655"/>
    </row>
    <row r="63" spans="2:41" x14ac:dyDescent="0.3">
      <c r="S63" s="655"/>
      <c r="T63" s="184"/>
      <c r="U63" s="184"/>
      <c r="V63" s="184"/>
      <c r="W63" s="184"/>
      <c r="X63" s="184"/>
      <c r="Y63" s="1202"/>
      <c r="Z63" s="655"/>
    </row>
    <row r="64" spans="2:41" x14ac:dyDescent="0.3">
      <c r="S64" s="655"/>
      <c r="T64" s="184"/>
      <c r="U64" s="184"/>
      <c r="V64" s="184"/>
      <c r="W64" s="184"/>
      <c r="X64" s="184"/>
      <c r="Y64" s="60"/>
      <c r="Z64" s="655"/>
    </row>
    <row r="65" spans="13:26" x14ac:dyDescent="0.3">
      <c r="S65" s="655"/>
      <c r="T65" s="184"/>
      <c r="U65" s="184"/>
      <c r="V65" s="184"/>
      <c r="W65" s="184"/>
      <c r="X65" s="184"/>
      <c r="Y65" s="60"/>
      <c r="Z65" s="655"/>
    </row>
    <row r="66" spans="13:26" x14ac:dyDescent="0.3">
      <c r="S66" s="655"/>
      <c r="T66" s="655"/>
      <c r="U66" s="655"/>
      <c r="V66" s="655"/>
      <c r="W66" s="655"/>
      <c r="X66" s="655"/>
      <c r="Y66" s="655"/>
      <c r="Z66" s="655"/>
    </row>
    <row r="67" spans="13:26" x14ac:dyDescent="0.3">
      <c r="S67" s="655"/>
      <c r="T67" s="655"/>
      <c r="U67" s="655"/>
      <c r="V67" s="655"/>
      <c r="W67" s="655"/>
      <c r="X67" s="655"/>
      <c r="Y67" s="655"/>
      <c r="Z67" s="655"/>
    </row>
    <row r="68" spans="13:26" x14ac:dyDescent="0.3">
      <c r="S68" s="655"/>
      <c r="T68" s="655"/>
      <c r="U68" s="655"/>
      <c r="V68" s="655"/>
      <c r="W68" s="655"/>
      <c r="X68" s="655"/>
      <c r="Y68" s="655"/>
      <c r="Z68" s="655"/>
    </row>
    <row r="69" spans="13:26" x14ac:dyDescent="0.3">
      <c r="S69" s="655"/>
      <c r="T69" s="655"/>
      <c r="U69" s="655"/>
      <c r="V69" s="655"/>
      <c r="W69" s="655"/>
      <c r="X69" s="655"/>
      <c r="Y69" s="655"/>
      <c r="Z69" s="655"/>
    </row>
    <row r="76" spans="13:26" x14ac:dyDescent="0.3">
      <c r="M76" s="457"/>
    </row>
    <row r="77" spans="13:26" x14ac:dyDescent="0.3">
      <c r="M77" s="457"/>
    </row>
    <row r="79" spans="13:26" ht="15" customHeight="1" x14ac:dyDescent="0.3"/>
  </sheetData>
  <mergeCells count="30">
    <mergeCell ref="B46:C46"/>
    <mergeCell ref="AE49:AH49"/>
    <mergeCell ref="AE50:AH50"/>
    <mergeCell ref="AE51:AH51"/>
    <mergeCell ref="AE55:AH55"/>
    <mergeCell ref="M21:N21"/>
    <mergeCell ref="AM54:AN54"/>
    <mergeCell ref="AM55:AN55"/>
    <mergeCell ref="AE52:AH52"/>
    <mergeCell ref="AM52:AN52"/>
    <mergeCell ref="AE53:AH53"/>
    <mergeCell ref="AM53:AN53"/>
    <mergeCell ref="Y50:Z50"/>
    <mergeCell ref="R45:S45"/>
    <mergeCell ref="R48:T48"/>
    <mergeCell ref="M27:N27"/>
    <mergeCell ref="M28:N28"/>
    <mergeCell ref="M29:N29"/>
    <mergeCell ref="AE54:AH54"/>
    <mergeCell ref="AE48:AH48"/>
    <mergeCell ref="J57:K57"/>
    <mergeCell ref="J56:K56"/>
    <mergeCell ref="Y51:Z51"/>
    <mergeCell ref="J54:K54"/>
    <mergeCell ref="B51:C51"/>
    <mergeCell ref="J55:K55"/>
    <mergeCell ref="B54:E54"/>
    <mergeCell ref="B55:E55"/>
    <mergeCell ref="B52:C52"/>
    <mergeCell ref="R49:T49"/>
  </mergeCells>
  <hyperlinks>
    <hyperlink ref="AC35" r:id="rId1" xr:uid="{AA880864-9326-46F4-9350-B0912E58540F}"/>
    <hyperlink ref="AB35" r:id="rId2" xr:uid="{0188173B-5989-44F6-A4D2-75608BEE3BFA}"/>
  </hyperlinks>
  <pageMargins left="0.7" right="0.7" top="0.75" bottom="0.75" header="0.511811023622047" footer="0.511811023622047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266700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Y64"/>
  <sheetViews>
    <sheetView zoomScale="70" zoomScaleNormal="70" workbookViewId="0">
      <selection activeCell="L32" sqref="L32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5.44140625" customWidth="1"/>
    <col min="17" max="17" width="20.6640625" customWidth="1"/>
    <col min="18" max="18" width="14" customWidth="1"/>
    <col min="19" max="19" width="20.88671875" customWidth="1"/>
    <col min="20" max="20" width="12.5546875" customWidth="1"/>
    <col min="21" max="21" width="14.44140625" customWidth="1"/>
    <col min="22" max="22" width="14.5546875" customWidth="1"/>
    <col min="23" max="23" width="14.33203125" customWidth="1"/>
    <col min="24" max="24" width="13.33203125" customWidth="1"/>
    <col min="25" max="25" width="16.33203125" customWidth="1"/>
  </cols>
  <sheetData>
    <row r="1" spans="2:24" ht="15" thickBot="1" x14ac:dyDescent="0.35">
      <c r="J1" t="s">
        <v>1202</v>
      </c>
    </row>
    <row r="2" spans="2:24" ht="16.2" thickBot="1" x14ac:dyDescent="0.35">
      <c r="B2" s="637"/>
      <c r="C2" s="638"/>
      <c r="D2" s="638"/>
      <c r="E2" s="638" t="s">
        <v>0</v>
      </c>
      <c r="F2" s="638"/>
      <c r="G2" s="638"/>
      <c r="H2" s="638"/>
      <c r="I2" s="638"/>
      <c r="J2" s="639" t="s">
        <v>1124</v>
      </c>
      <c r="L2" s="149" t="s">
        <v>1</v>
      </c>
      <c r="M2" s="150"/>
      <c r="Q2" s="56" t="s">
        <v>214</v>
      </c>
      <c r="R2" s="246"/>
      <c r="S2" s="56"/>
      <c r="T2" s="56"/>
      <c r="U2" s="56"/>
      <c r="V2" s="56"/>
      <c r="W2" s="56"/>
    </row>
    <row r="3" spans="2:24" ht="16.2" thickBot="1" x14ac:dyDescent="0.35">
      <c r="B3" s="640"/>
      <c r="C3" s="641" t="s">
        <v>2</v>
      </c>
      <c r="D3" s="641"/>
      <c r="E3" s="641"/>
      <c r="F3" s="1195" t="s">
        <v>1166</v>
      </c>
      <c r="G3" s="641"/>
      <c r="H3" s="642"/>
      <c r="I3" s="1196" t="s">
        <v>433</v>
      </c>
      <c r="J3" s="643"/>
      <c r="L3" s="151" t="s">
        <v>258</v>
      </c>
      <c r="M3" s="10">
        <v>990</v>
      </c>
      <c r="Q3" s="1261" t="s">
        <v>215</v>
      </c>
      <c r="R3" s="1262"/>
      <c r="S3" s="264" t="s">
        <v>150</v>
      </c>
      <c r="T3" s="264"/>
      <c r="U3" s="264" t="s">
        <v>216</v>
      </c>
      <c r="V3" s="264"/>
      <c r="W3" s="295" t="s">
        <v>203</v>
      </c>
    </row>
    <row r="4" spans="2:24" ht="15.6" x14ac:dyDescent="0.3">
      <c r="B4" s="640"/>
      <c r="C4" s="457" t="s">
        <v>4</v>
      </c>
      <c r="D4" s="457"/>
      <c r="E4" s="457"/>
      <c r="F4" s="1194" t="s">
        <v>1167</v>
      </c>
      <c r="G4" s="457"/>
      <c r="H4" s="457"/>
      <c r="I4" s="662" t="s">
        <v>1168</v>
      </c>
      <c r="J4" s="644"/>
      <c r="L4" s="151" t="s">
        <v>259</v>
      </c>
      <c r="M4" s="10">
        <v>940</v>
      </c>
      <c r="Q4" s="1263" t="s">
        <v>217</v>
      </c>
      <c r="R4" s="1264"/>
      <c r="S4" s="1259" t="s">
        <v>179</v>
      </c>
      <c r="T4" s="298"/>
      <c r="U4" s="298" t="s">
        <v>151</v>
      </c>
      <c r="V4" s="298"/>
      <c r="W4" s="299"/>
    </row>
    <row r="5" spans="2:24" ht="15.6" x14ac:dyDescent="0.3">
      <c r="B5" s="640"/>
      <c r="C5" s="457" t="s">
        <v>6</v>
      </c>
      <c r="D5" s="457"/>
      <c r="E5" s="457"/>
      <c r="F5" s="678" t="s">
        <v>1066</v>
      </c>
      <c r="G5" s="457"/>
      <c r="H5" s="457"/>
      <c r="I5" s="457" t="s">
        <v>1169</v>
      </c>
      <c r="J5" s="644"/>
      <c r="L5" s="151" t="s">
        <v>260</v>
      </c>
      <c r="M5" s="10">
        <v>760</v>
      </c>
      <c r="Q5" s="300">
        <v>28</v>
      </c>
      <c r="R5" s="299">
        <f>Q5</f>
        <v>28</v>
      </c>
      <c r="S5" s="1260">
        <v>12</v>
      </c>
      <c r="T5" s="298"/>
      <c r="U5" s="301">
        <v>20</v>
      </c>
      <c r="V5" s="298"/>
      <c r="W5" s="299"/>
    </row>
    <row r="6" spans="2:24" ht="16.2" thickBot="1" x14ac:dyDescent="0.35">
      <c r="B6" s="640"/>
      <c r="C6" s="457" t="s">
        <v>10</v>
      </c>
      <c r="D6" s="457"/>
      <c r="E6" s="457"/>
      <c r="F6" s="1013" t="s">
        <v>820</v>
      </c>
      <c r="G6" s="457"/>
      <c r="H6" s="457"/>
      <c r="I6" s="1154" t="s">
        <v>1170</v>
      </c>
      <c r="J6" s="644"/>
      <c r="L6" s="151" t="s">
        <v>261</v>
      </c>
      <c r="M6" s="10">
        <v>165</v>
      </c>
      <c r="Q6" s="307"/>
      <c r="R6" s="310"/>
      <c r="S6" s="1259" t="s">
        <v>180</v>
      </c>
      <c r="T6" s="298"/>
      <c r="U6" s="298" t="s">
        <v>152</v>
      </c>
      <c r="V6" s="298"/>
      <c r="W6" s="299"/>
    </row>
    <row r="7" spans="2:24" ht="15.6" x14ac:dyDescent="0.3">
      <c r="B7" s="647"/>
      <c r="C7" s="641"/>
      <c r="D7" s="641"/>
      <c r="E7" s="641"/>
      <c r="F7" s="641"/>
      <c r="G7" s="641"/>
      <c r="H7" s="641"/>
      <c r="I7" s="641"/>
      <c r="J7" s="648"/>
      <c r="L7" s="151" t="s">
        <v>262</v>
      </c>
      <c r="M7" s="10">
        <v>1215</v>
      </c>
      <c r="Q7" s="1263" t="s">
        <v>218</v>
      </c>
      <c r="R7" s="1264"/>
      <c r="S7" s="1260">
        <v>15</v>
      </c>
      <c r="T7" s="298">
        <f>(S5+S7)/2</f>
        <v>13.5</v>
      </c>
      <c r="U7" s="301">
        <v>80</v>
      </c>
      <c r="V7" s="298"/>
      <c r="W7" s="299"/>
    </row>
    <row r="8" spans="2:24" ht="15.6" x14ac:dyDescent="0.3">
      <c r="B8" s="640"/>
      <c r="C8" s="457" t="s">
        <v>16</v>
      </c>
      <c r="D8" s="457"/>
      <c r="E8" s="457"/>
      <c r="F8" s="678" t="s">
        <v>134</v>
      </c>
      <c r="G8" s="457"/>
      <c r="H8" s="642"/>
      <c r="I8" s="457" t="s">
        <v>17</v>
      </c>
      <c r="J8" s="650">
        <f>F9/F14</f>
        <v>0.49490950226244346</v>
      </c>
      <c r="L8" s="152" t="s">
        <v>12</v>
      </c>
      <c r="M8" s="153">
        <f>VLOOKUP(F8,Марка_мет,9,FALSE())</f>
        <v>8.5</v>
      </c>
      <c r="Q8" s="300">
        <v>28</v>
      </c>
      <c r="R8" s="299">
        <f>Q8</f>
        <v>28</v>
      </c>
      <c r="S8" s="1259" t="s">
        <v>205</v>
      </c>
      <c r="T8" s="298"/>
      <c r="U8" s="298" t="s">
        <v>153</v>
      </c>
      <c r="V8" s="298"/>
      <c r="W8" s="299"/>
    </row>
    <row r="9" spans="2:24" ht="15.6" x14ac:dyDescent="0.3">
      <c r="B9" s="640"/>
      <c r="C9" s="457" t="s">
        <v>19</v>
      </c>
      <c r="D9" s="457"/>
      <c r="E9" s="457"/>
      <c r="F9" s="651">
        <f>IF(M23&lt;&gt;0,M23,IF(M22&lt;100,ROUNDUP(M22,1),ROUNDUP(M22,0)))</f>
        <v>1750</v>
      </c>
      <c r="G9" s="652"/>
      <c r="H9" s="642"/>
      <c r="I9" s="457"/>
      <c r="J9" s="650"/>
      <c r="L9" s="154" t="s">
        <v>263</v>
      </c>
      <c r="M9" s="10">
        <v>1080</v>
      </c>
      <c r="Q9" s="302"/>
      <c r="R9" s="299"/>
      <c r="S9" s="1260">
        <v>22</v>
      </c>
      <c r="T9" s="298">
        <f>S9</f>
        <v>22</v>
      </c>
      <c r="U9" s="301">
        <f>R11</f>
        <v>242</v>
      </c>
      <c r="V9" s="298"/>
      <c r="W9" s="299"/>
    </row>
    <row r="10" spans="2:24" ht="15.6" x14ac:dyDescent="0.3">
      <c r="B10" s="640"/>
      <c r="C10" s="457" t="s">
        <v>22</v>
      </c>
      <c r="D10" s="457"/>
      <c r="E10" s="457"/>
      <c r="F10" s="653">
        <f>M12</f>
        <v>2428</v>
      </c>
      <c r="G10" s="654"/>
      <c r="H10" s="457"/>
      <c r="I10" s="457" t="s">
        <v>23</v>
      </c>
      <c r="J10" s="650">
        <f>F9/F16</f>
        <v>0.47593146586891488</v>
      </c>
      <c r="L10" s="154" t="s">
        <v>875</v>
      </c>
      <c r="M10" s="1257">
        <f>(M3-M5)/2</f>
        <v>115</v>
      </c>
      <c r="N10" s="58"/>
      <c r="Q10" s="303" t="s">
        <v>8</v>
      </c>
      <c r="R10" s="299"/>
      <c r="S10" s="1265" t="s">
        <v>1103</v>
      </c>
      <c r="T10" s="298"/>
      <c r="U10" s="298" t="s">
        <v>175</v>
      </c>
      <c r="V10" s="298"/>
      <c r="W10" s="299"/>
    </row>
    <row r="11" spans="2:24" ht="15.6" x14ac:dyDescent="0.3">
      <c r="B11" s="640"/>
      <c r="C11" s="457" t="s">
        <v>24</v>
      </c>
      <c r="D11" s="457"/>
      <c r="E11" s="457"/>
      <c r="F11" s="651">
        <f>M13</f>
        <v>1049</v>
      </c>
      <c r="G11" s="654"/>
      <c r="H11" s="457"/>
      <c r="I11" s="457"/>
      <c r="J11" s="650"/>
      <c r="L11" s="154" t="s">
        <v>14</v>
      </c>
      <c r="M11" s="10">
        <v>280</v>
      </c>
      <c r="Q11" s="304">
        <v>242</v>
      </c>
      <c r="R11" s="299">
        <f>Q11</f>
        <v>242</v>
      </c>
      <c r="S11" s="1260">
        <v>180</v>
      </c>
      <c r="T11" s="298">
        <f>2*3.1415926*S14/2</f>
        <v>408.407038</v>
      </c>
      <c r="U11" s="456">
        <f>R13</f>
        <v>1</v>
      </c>
      <c r="V11" s="298">
        <f>U5*U7*U9*R12*U11/1000000</f>
        <v>2.7878400000000001</v>
      </c>
      <c r="W11" s="299"/>
    </row>
    <row r="12" spans="2:24" ht="15.6" x14ac:dyDescent="0.3">
      <c r="B12" s="640"/>
      <c r="C12" s="655" t="s">
        <v>342</v>
      </c>
      <c r="D12" s="457"/>
      <c r="E12" s="457"/>
      <c r="F12" s="651">
        <f>ROUNDUP(M14,0)</f>
        <v>59</v>
      </c>
      <c r="G12" s="654"/>
      <c r="H12" s="457"/>
      <c r="I12" s="457"/>
      <c r="J12" s="650"/>
      <c r="L12" s="155" t="s">
        <v>20</v>
      </c>
      <c r="M12" s="156">
        <f>ROUNDUP(((M3*0.985*M3*0.985-M5*0.994*M5*0.994)*3.1415926*M6*M8+(M4*0.985*M4*0.985-M5*0.994*M5*0.994)*(M7-M6)*M8*3.1415926)/4000000,0)</f>
        <v>2428</v>
      </c>
      <c r="Q12" s="302"/>
      <c r="R12" s="1268">
        <v>7.2</v>
      </c>
      <c r="S12" s="1265" t="s">
        <v>207</v>
      </c>
      <c r="T12" s="298">
        <v>150</v>
      </c>
      <c r="U12" s="298"/>
      <c r="V12" s="298"/>
      <c r="W12" s="299"/>
    </row>
    <row r="13" spans="2:24" ht="16.2" thickBot="1" x14ac:dyDescent="0.35">
      <c r="B13" s="640"/>
      <c r="C13" s="457" t="s">
        <v>27</v>
      </c>
      <c r="D13" s="457"/>
      <c r="E13" s="457"/>
      <c r="F13" s="651">
        <f>F10+F11+F12</f>
        <v>3536</v>
      </c>
      <c r="G13" s="654"/>
      <c r="H13" s="457"/>
      <c r="I13" s="457"/>
      <c r="J13" s="644"/>
      <c r="L13" s="157" t="s">
        <v>24</v>
      </c>
      <c r="M13" s="156">
        <f>ROUNDUP(((M9*0.985*M9*0.985-M5*0.994*M5*0.994)*3.1415926*M11*M8)/4000000,0)</f>
        <v>1049</v>
      </c>
      <c r="Q13" s="307"/>
      <c r="R13" s="1269">
        <v>1</v>
      </c>
      <c r="S13" s="1265" t="s">
        <v>209</v>
      </c>
      <c r="T13" s="298">
        <f>IF(R13=1,T12,T11)</f>
        <v>150</v>
      </c>
      <c r="U13" s="298"/>
      <c r="V13" s="298"/>
      <c r="W13" s="299"/>
    </row>
    <row r="14" spans="2:24" ht="16.2" thickBot="1" x14ac:dyDescent="0.35">
      <c r="B14" s="640"/>
      <c r="C14" s="457" t="s">
        <v>29</v>
      </c>
      <c r="D14" s="457"/>
      <c r="E14" s="457"/>
      <c r="F14" s="651">
        <f>ROUNDUP(F13/F17,0)</f>
        <v>3536</v>
      </c>
      <c r="G14" s="654"/>
      <c r="H14" s="457"/>
      <c r="I14" s="457"/>
      <c r="J14" s="644"/>
      <c r="L14" s="158" t="s">
        <v>26</v>
      </c>
      <c r="M14" s="159">
        <f>Данные!B258</f>
        <v>58.88</v>
      </c>
      <c r="Q14" s="1266"/>
      <c r="R14" s="1267">
        <f>R5*R5*3.1415926*R11*R12/4000000+(R8*R8*3.1415926*R11*R12*R13/4000000)</f>
        <v>2.1457730909260806</v>
      </c>
      <c r="S14" s="309">
        <f>R8+T9+U7</f>
        <v>130</v>
      </c>
      <c r="T14" s="308">
        <f>T7*T9*T13*R12/1000000/360*180</f>
        <v>0.16037999999999999</v>
      </c>
      <c r="U14" s="308"/>
      <c r="V14" s="308"/>
      <c r="W14" s="310">
        <f>R14+T14+V11</f>
        <v>5.0939930909260802</v>
      </c>
    </row>
    <row r="15" spans="2:24" ht="16.2" thickBot="1" x14ac:dyDescent="0.35">
      <c r="B15" s="640"/>
      <c r="C15" s="457" t="s">
        <v>32</v>
      </c>
      <c r="D15" s="457"/>
      <c r="E15" s="457"/>
      <c r="F15" s="651">
        <f>ROUND(F13*1.04,0)</f>
        <v>3677</v>
      </c>
      <c r="G15" s="654"/>
      <c r="H15" s="457"/>
      <c r="I15" s="457"/>
      <c r="J15" s="656"/>
      <c r="L15" s="43"/>
    </row>
    <row r="16" spans="2:24" ht="16.2" thickBot="1" x14ac:dyDescent="0.35">
      <c r="B16" s="640"/>
      <c r="C16" s="457" t="s">
        <v>34</v>
      </c>
      <c r="D16" s="457"/>
      <c r="E16" s="457"/>
      <c r="F16" s="651">
        <f>ROUNDUP(F15/F17,0)</f>
        <v>3677</v>
      </c>
      <c r="G16" s="654"/>
      <c r="H16" s="457"/>
      <c r="I16" s="457"/>
      <c r="J16" s="656"/>
      <c r="L16" s="1506" t="s">
        <v>30</v>
      </c>
      <c r="M16" s="1507"/>
      <c r="Q16" s="56" t="s">
        <v>200</v>
      </c>
      <c r="R16" s="260"/>
      <c r="S16" s="260"/>
      <c r="T16" s="260"/>
      <c r="U16" s="261"/>
      <c r="V16" s="56"/>
      <c r="W16" s="56"/>
      <c r="X16" s="56"/>
    </row>
    <row r="17" spans="2:25" ht="15.6" x14ac:dyDescent="0.3">
      <c r="B17" s="640"/>
      <c r="C17" s="457" t="s">
        <v>36</v>
      </c>
      <c r="D17" s="457"/>
      <c r="E17" s="457"/>
      <c r="F17" s="657">
        <v>1</v>
      </c>
      <c r="G17" s="457"/>
      <c r="H17" s="457"/>
      <c r="I17" s="457"/>
      <c r="J17" s="656"/>
      <c r="L17" s="147" t="s">
        <v>258</v>
      </c>
      <c r="M17" s="10">
        <v>960</v>
      </c>
      <c r="Q17" s="262" t="s">
        <v>201</v>
      </c>
      <c r="R17" s="263"/>
      <c r="S17" s="264" t="s">
        <v>202</v>
      </c>
      <c r="T17" s="263"/>
      <c r="U17" s="264" t="s">
        <v>150</v>
      </c>
      <c r="V17" s="265"/>
      <c r="W17" s="263"/>
      <c r="X17" s="266" t="s">
        <v>203</v>
      </c>
    </row>
    <row r="18" spans="2:25" ht="15.6" x14ac:dyDescent="0.3">
      <c r="B18" s="640"/>
      <c r="C18" s="457" t="s">
        <v>38</v>
      </c>
      <c r="D18" s="457"/>
      <c r="E18" s="457"/>
      <c r="F18" s="657">
        <v>1</v>
      </c>
      <c r="G18" s="457"/>
      <c r="H18" s="457"/>
      <c r="I18" s="457"/>
      <c r="J18" s="656"/>
      <c r="L18" s="147" t="s">
        <v>259</v>
      </c>
      <c r="M18" s="10">
        <v>910</v>
      </c>
      <c r="Q18" s="268" t="s">
        <v>204</v>
      </c>
      <c r="R18" s="269"/>
      <c r="S18" s="270" t="s">
        <v>151</v>
      </c>
      <c r="T18" s="270"/>
      <c r="U18" s="270" t="s">
        <v>179</v>
      </c>
      <c r="V18" s="271"/>
      <c r="W18" s="270"/>
      <c r="X18" s="272"/>
    </row>
    <row r="19" spans="2:25" ht="16.2" thickBot="1" x14ac:dyDescent="0.35">
      <c r="B19" s="658"/>
      <c r="C19" s="659" t="s">
        <v>40</v>
      </c>
      <c r="D19" s="659"/>
      <c r="E19" s="659"/>
      <c r="F19" s="660">
        <v>1</v>
      </c>
      <c r="G19" s="659"/>
      <c r="H19" s="659"/>
      <c r="I19" s="659"/>
      <c r="J19" s="661"/>
      <c r="L19" s="1198" t="s">
        <v>260</v>
      </c>
      <c r="M19" s="10">
        <v>780</v>
      </c>
      <c r="Q19" s="273">
        <v>50</v>
      </c>
      <c r="R19" s="274">
        <f>Q19</f>
        <v>50</v>
      </c>
      <c r="S19" s="275">
        <v>17</v>
      </c>
      <c r="T19" s="271"/>
      <c r="U19" s="275">
        <v>12</v>
      </c>
      <c r="V19" s="271"/>
      <c r="W19" s="270"/>
      <c r="X19" s="272"/>
    </row>
    <row r="20" spans="2:25" ht="15.6" x14ac:dyDescent="0.3">
      <c r="B20" s="640"/>
      <c r="C20" s="662" t="s">
        <v>221</v>
      </c>
      <c r="D20" s="457"/>
      <c r="E20" s="457" t="str">
        <f>"     Формовочный уклон "&amp;Данные!F32</f>
        <v xml:space="preserve">     Формовочный уклон 4</v>
      </c>
      <c r="F20" s="457"/>
      <c r="G20" s="457"/>
      <c r="H20" s="457" t="s">
        <v>41</v>
      </c>
      <c r="I20" s="663"/>
      <c r="J20" s="664"/>
      <c r="L20" s="147" t="s">
        <v>261</v>
      </c>
      <c r="M20" s="10">
        <v>100</v>
      </c>
      <c r="Q20" s="276"/>
      <c r="R20" s="269"/>
      <c r="S20" s="270" t="s">
        <v>152</v>
      </c>
      <c r="T20" s="270"/>
      <c r="U20" s="270" t="s">
        <v>180</v>
      </c>
      <c r="V20" s="271"/>
      <c r="W20" s="270"/>
      <c r="X20" s="272"/>
    </row>
    <row r="21" spans="2:25" ht="15.6" x14ac:dyDescent="0.3">
      <c r="B21" s="640"/>
      <c r="C21" s="662">
        <f>ROUNDUP(M11*0.985,0)</f>
        <v>276</v>
      </c>
      <c r="D21" s="662"/>
      <c r="E21" s="636">
        <f>M7</f>
        <v>1215</v>
      </c>
      <c r="F21" s="457"/>
      <c r="G21" s="457"/>
      <c r="H21" s="457"/>
      <c r="I21" s="663"/>
      <c r="J21" s="664"/>
      <c r="L21" s="147" t="s">
        <v>353</v>
      </c>
      <c r="M21" s="10">
        <v>1150</v>
      </c>
      <c r="Q21" s="268" t="s">
        <v>89</v>
      </c>
      <c r="R21" s="269"/>
      <c r="S21" s="275">
        <v>22</v>
      </c>
      <c r="T21" s="277">
        <f>(S19+S21)/2</f>
        <v>19.5</v>
      </c>
      <c r="U21" s="275">
        <v>15</v>
      </c>
      <c r="V21" s="270">
        <f>(U19+U21)/2</f>
        <v>13.5</v>
      </c>
      <c r="W21" s="271"/>
      <c r="X21" s="272"/>
    </row>
    <row r="22" spans="2:25" ht="16.2" thickBot="1" x14ac:dyDescent="0.35">
      <c r="B22" s="640"/>
      <c r="C22" s="457"/>
      <c r="D22" s="457"/>
      <c r="E22" s="665" t="str">
        <f>"("&amp;M21&amp;")"</f>
        <v>(1150)</v>
      </c>
      <c r="F22" s="457"/>
      <c r="G22" s="457"/>
      <c r="H22" s="457"/>
      <c r="I22" s="663"/>
      <c r="J22" s="664"/>
      <c r="L22" s="148" t="s">
        <v>19</v>
      </c>
      <c r="M22" s="156">
        <f>ROUNDUP(((M17*M17-M19*M19)*3.1415926*M20*M8+(M18*M18-M19*M19)*(M21-M20)*M8*3.1415926)/4000000,1)</f>
        <v>1749.1999999999998</v>
      </c>
      <c r="Q22" s="273">
        <v>242</v>
      </c>
      <c r="R22" s="274">
        <f>Q22</f>
        <v>242</v>
      </c>
      <c r="S22" s="270">
        <v>22</v>
      </c>
      <c r="T22" s="270"/>
      <c r="U22" s="270" t="s">
        <v>205</v>
      </c>
      <c r="V22" s="270"/>
      <c r="W22" s="271"/>
      <c r="X22" s="272"/>
    </row>
    <row r="23" spans="2:25" ht="16.2" thickBot="1" x14ac:dyDescent="0.35">
      <c r="B23" s="640"/>
      <c r="C23" s="457"/>
      <c r="D23" s="457">
        <v>40</v>
      </c>
      <c r="E23" s="457"/>
      <c r="F23" s="457"/>
      <c r="G23" s="457"/>
      <c r="H23" s="457"/>
      <c r="I23" s="642"/>
      <c r="J23" s="666"/>
      <c r="M23" s="1199"/>
      <c r="Q23" s="276"/>
      <c r="R23" s="278">
        <v>7.2</v>
      </c>
      <c r="S23" s="275">
        <v>22</v>
      </c>
      <c r="T23" s="277">
        <f>S23</f>
        <v>22</v>
      </c>
      <c r="U23" s="275">
        <v>22</v>
      </c>
      <c r="V23" s="270">
        <f>U23</f>
        <v>22</v>
      </c>
      <c r="W23" s="271"/>
      <c r="X23" s="279"/>
    </row>
    <row r="24" spans="2:25" ht="15.6" x14ac:dyDescent="0.3">
      <c r="B24" s="640"/>
      <c r="C24" s="457"/>
      <c r="D24" s="457"/>
      <c r="E24" s="457"/>
      <c r="F24" s="457"/>
      <c r="G24" s="457"/>
      <c r="H24" s="457"/>
      <c r="I24" s="667"/>
      <c r="J24" s="666"/>
      <c r="Q24" s="276"/>
      <c r="R24" s="280">
        <f>R19*R19*3.1415926*R22*R23/4000000</f>
        <v>3.4211943414000001</v>
      </c>
      <c r="S24" s="281" t="s">
        <v>89</v>
      </c>
      <c r="T24" s="270"/>
      <c r="U24" s="281" t="s">
        <v>206</v>
      </c>
      <c r="V24" s="270"/>
      <c r="W24" s="271"/>
      <c r="X24" s="279"/>
    </row>
    <row r="25" spans="2:25" ht="15.6" x14ac:dyDescent="0.3">
      <c r="B25" s="640"/>
      <c r="C25" s="457"/>
      <c r="D25" s="457"/>
      <c r="E25" s="457"/>
      <c r="F25" s="457"/>
      <c r="G25" s="457"/>
      <c r="H25" s="654">
        <v>90</v>
      </c>
      <c r="I25" s="668"/>
      <c r="J25" s="666"/>
      <c r="Q25" s="276"/>
      <c r="R25" s="270"/>
      <c r="S25" s="275">
        <v>50</v>
      </c>
      <c r="T25" s="277">
        <f>S25</f>
        <v>50</v>
      </c>
      <c r="U25" s="275">
        <v>510</v>
      </c>
      <c r="V25" s="282">
        <f>2*3.1415926*U28/2</f>
        <v>1828.4068932</v>
      </c>
      <c r="W25" s="271"/>
      <c r="X25" s="279"/>
    </row>
    <row r="26" spans="2:25" ht="15.6" x14ac:dyDescent="0.3">
      <c r="B26" s="640"/>
      <c r="C26" s="457"/>
      <c r="D26" s="457"/>
      <c r="E26" s="457"/>
      <c r="F26" s="457"/>
      <c r="G26" s="457"/>
      <c r="H26" s="457"/>
      <c r="I26" s="669"/>
      <c r="J26" s="666"/>
      <c r="M26" s="43"/>
      <c r="Q26" s="276"/>
      <c r="R26" s="271"/>
      <c r="S26" s="281" t="s">
        <v>175</v>
      </c>
      <c r="T26" s="270"/>
      <c r="U26" s="281" t="s">
        <v>207</v>
      </c>
      <c r="V26" s="270"/>
      <c r="W26" s="281" t="s">
        <v>208</v>
      </c>
      <c r="X26" s="279"/>
    </row>
    <row r="27" spans="2:25" ht="15.6" x14ac:dyDescent="0.3">
      <c r="B27" s="640"/>
      <c r="C27" s="457"/>
      <c r="D27" s="457"/>
      <c r="E27" s="457"/>
      <c r="F27" s="457"/>
      <c r="G27" s="457"/>
      <c r="H27" s="671" t="str">
        <f>"Ø "&amp;ROUNDUP(M5*0.994,0)</f>
        <v>Ø 756</v>
      </c>
      <c r="I27" s="671" t="str">
        <f>"Ø "&amp;ROUNDUP(M4*0.985,0)</f>
        <v>Ø 926</v>
      </c>
      <c r="J27" s="672" t="str">
        <f>"Ø "&amp;ROUNDUP(M3*0.985,0)</f>
        <v>Ø 976</v>
      </c>
      <c r="M27" s="1273"/>
      <c r="Q27" s="276"/>
      <c r="R27" s="271"/>
      <c r="S27" s="275">
        <v>4</v>
      </c>
      <c r="T27" s="277">
        <f>S27</f>
        <v>4</v>
      </c>
      <c r="U27" s="281" t="s">
        <v>209</v>
      </c>
      <c r="V27" s="270"/>
      <c r="W27" s="275">
        <v>180</v>
      </c>
      <c r="X27" s="279"/>
    </row>
    <row r="28" spans="2:25" ht="15.6" x14ac:dyDescent="0.3">
      <c r="B28" s="640"/>
      <c r="C28" s="457"/>
      <c r="D28" s="673"/>
      <c r="E28" s="674"/>
      <c r="F28" s="457"/>
      <c r="G28" s="457"/>
      <c r="H28" s="674" t="str">
        <f>"( "&amp;M19&amp;" )"</f>
        <v>( 780 )</v>
      </c>
      <c r="I28" s="674" t="str">
        <f>"( "&amp;M18&amp;" )"</f>
        <v>( 910 )</v>
      </c>
      <c r="J28" s="672" t="str">
        <f>"( "&amp;M17&amp;" )"</f>
        <v>( 960 )</v>
      </c>
      <c r="Q28" s="276"/>
      <c r="R28" s="271"/>
      <c r="S28" s="271"/>
      <c r="T28" s="278">
        <f>R23</f>
        <v>7.2</v>
      </c>
      <c r="U28" s="270">
        <f>U25+S25+U23</f>
        <v>582</v>
      </c>
      <c r="V28" s="278">
        <f>R23</f>
        <v>7.2</v>
      </c>
      <c r="W28" s="270" t="s">
        <v>210</v>
      </c>
      <c r="X28" s="279"/>
    </row>
    <row r="29" spans="2:25" ht="16.2" thickBot="1" x14ac:dyDescent="0.35">
      <c r="B29" s="640"/>
      <c r="C29" s="457"/>
      <c r="D29" s="642"/>
      <c r="E29" s="457"/>
      <c r="F29" s="457"/>
      <c r="G29" s="457"/>
      <c r="H29" s="457"/>
      <c r="I29" s="668"/>
      <c r="J29" s="666"/>
      <c r="Q29" s="283"/>
      <c r="R29" s="284"/>
      <c r="S29" s="284"/>
      <c r="T29" s="285">
        <f>T21*T23*T25*T27*T28/1000000</f>
        <v>0.61775999999999998</v>
      </c>
      <c r="U29" s="284"/>
      <c r="V29" s="286">
        <f>V21*V23*V25*V28/1000000</f>
        <v>3.9098653004188799</v>
      </c>
      <c r="W29" s="285">
        <f>V29/360*W27</f>
        <v>1.95493265020944</v>
      </c>
      <c r="X29" s="287">
        <f>R24+T29+W29</f>
        <v>5.9938869916094397</v>
      </c>
    </row>
    <row r="30" spans="2:25" ht="15.6" x14ac:dyDescent="0.3">
      <c r="B30" s="640"/>
      <c r="C30" s="457"/>
      <c r="D30" s="642"/>
      <c r="E30" s="642"/>
      <c r="F30" s="457"/>
      <c r="G30" s="457"/>
      <c r="H30" s="457"/>
      <c r="I30" s="668"/>
      <c r="J30" s="666"/>
    </row>
    <row r="31" spans="2:25" ht="16.2" thickBot="1" x14ac:dyDescent="0.35">
      <c r="B31" s="640"/>
      <c r="C31" s="676"/>
      <c r="D31" s="457"/>
      <c r="E31" s="677"/>
      <c r="F31" s="673"/>
      <c r="G31" s="457"/>
      <c r="H31" s="457"/>
      <c r="I31" s="668"/>
      <c r="J31" s="666"/>
      <c r="Q31" s="56" t="s">
        <v>211</v>
      </c>
      <c r="R31" s="246"/>
      <c r="S31" s="56"/>
      <c r="T31" s="56"/>
      <c r="U31" s="56"/>
      <c r="V31" s="56"/>
      <c r="W31" s="56"/>
      <c r="X31" s="56"/>
      <c r="Y31" s="56"/>
    </row>
    <row r="32" spans="2:25" ht="15.6" x14ac:dyDescent="0.3">
      <c r="B32" s="640"/>
      <c r="C32" s="457"/>
      <c r="D32" s="457"/>
      <c r="E32" s="668"/>
      <c r="F32" s="673"/>
      <c r="G32" s="678"/>
      <c r="H32" s="457"/>
      <c r="I32" s="668"/>
      <c r="J32" s="666"/>
      <c r="Q32" s="262" t="s">
        <v>201</v>
      </c>
      <c r="R32" s="263"/>
      <c r="S32" s="264" t="s">
        <v>202</v>
      </c>
      <c r="T32" s="263"/>
      <c r="U32" s="264" t="s">
        <v>150</v>
      </c>
      <c r="V32" s="265"/>
      <c r="W32" s="263"/>
      <c r="X32" s="289" t="s">
        <v>187</v>
      </c>
      <c r="Y32" s="266" t="s">
        <v>203</v>
      </c>
    </row>
    <row r="33" spans="2:25" ht="16.2" thickBot="1" x14ac:dyDescent="0.35">
      <c r="B33" s="640"/>
      <c r="C33" s="457"/>
      <c r="D33" s="662">
        <f>M6</f>
        <v>165</v>
      </c>
      <c r="E33" s="668"/>
      <c r="F33" s="673"/>
      <c r="G33" s="457"/>
      <c r="H33" s="457"/>
      <c r="I33" s="668"/>
      <c r="J33" s="666"/>
      <c r="Q33" s="1140" t="s">
        <v>204</v>
      </c>
      <c r="R33" s="269"/>
      <c r="S33" s="270" t="s">
        <v>151</v>
      </c>
      <c r="T33" s="270"/>
      <c r="U33" s="270" t="s">
        <v>179</v>
      </c>
      <c r="V33" s="271"/>
      <c r="W33" s="270"/>
      <c r="X33" s="290" t="s">
        <v>180</v>
      </c>
      <c r="Y33" s="291"/>
    </row>
    <row r="34" spans="2:25" ht="15.6" x14ac:dyDescent="0.3">
      <c r="B34" s="640"/>
      <c r="C34" s="457"/>
      <c r="D34" s="662" t="str">
        <f>"("&amp;M20&amp;")"</f>
        <v>(100)</v>
      </c>
      <c r="E34" s="668"/>
      <c r="F34" s="673"/>
      <c r="G34" s="457"/>
      <c r="H34" s="457"/>
      <c r="I34" s="668"/>
      <c r="J34" s="666"/>
      <c r="Q34" s="1141">
        <v>85</v>
      </c>
      <c r="R34" s="1138">
        <f>IF(Q35=0,Q34,Q35)</f>
        <v>85</v>
      </c>
      <c r="S34" s="275">
        <v>60</v>
      </c>
      <c r="T34" s="271"/>
      <c r="U34" s="275">
        <v>91</v>
      </c>
      <c r="V34" s="271"/>
      <c r="W34" s="270"/>
      <c r="X34" s="292">
        <v>120</v>
      </c>
      <c r="Y34" s="291"/>
    </row>
    <row r="35" spans="2:25" ht="16.2" thickBot="1" x14ac:dyDescent="0.35">
      <c r="B35" s="640"/>
      <c r="C35" s="457"/>
      <c r="D35" s="457"/>
      <c r="E35" s="668"/>
      <c r="F35" s="673"/>
      <c r="G35" s="457"/>
      <c r="H35" s="457"/>
      <c r="I35" s="668"/>
      <c r="J35" s="666"/>
      <c r="Q35" s="1142"/>
      <c r="R35" s="1139"/>
      <c r="S35" s="270" t="s">
        <v>152</v>
      </c>
      <c r="T35" s="270"/>
      <c r="U35" s="270" t="s">
        <v>180</v>
      </c>
      <c r="V35" s="271"/>
      <c r="W35" s="270"/>
      <c r="X35" s="290" t="s">
        <v>153</v>
      </c>
      <c r="Y35" s="291"/>
    </row>
    <row r="36" spans="2:25" ht="16.2" thickBot="1" x14ac:dyDescent="0.35">
      <c r="B36" s="640"/>
      <c r="C36" s="457"/>
      <c r="D36" s="457"/>
      <c r="E36" s="457" t="s">
        <v>47</v>
      </c>
      <c r="F36" s="457"/>
      <c r="G36" s="457"/>
      <c r="H36" s="457"/>
      <c r="I36" s="668"/>
      <c r="J36" s="666"/>
      <c r="Q36" s="1144" t="s">
        <v>89</v>
      </c>
      <c r="R36" s="269"/>
      <c r="S36" s="275">
        <v>55</v>
      </c>
      <c r="T36" s="277">
        <f>(S34+S36)/2</f>
        <v>57.5</v>
      </c>
      <c r="U36" s="275">
        <v>70</v>
      </c>
      <c r="V36" s="270">
        <f>(U34+U36)/2</f>
        <v>80.5</v>
      </c>
      <c r="W36" s="271"/>
      <c r="X36" s="292">
        <v>100</v>
      </c>
      <c r="Y36" s="291"/>
    </row>
    <row r="37" spans="2:25" ht="15.6" x14ac:dyDescent="0.3">
      <c r="B37" s="640" t="s">
        <v>1126</v>
      </c>
      <c r="C37" s="457"/>
      <c r="D37" s="457"/>
      <c r="E37" s="654"/>
      <c r="F37" s="457"/>
      <c r="G37" s="457" t="s">
        <v>1127</v>
      </c>
      <c r="H37" s="457"/>
      <c r="I37" s="668"/>
      <c r="J37" s="666"/>
      <c r="Q37" s="1141">
        <v>350</v>
      </c>
      <c r="R37" s="1138">
        <f>IF(Q38=0,Q37,Q38)</f>
        <v>350</v>
      </c>
      <c r="S37" s="270" t="s">
        <v>153</v>
      </c>
      <c r="T37" s="270"/>
      <c r="U37" s="270" t="s">
        <v>205</v>
      </c>
      <c r="V37" s="270"/>
      <c r="W37" s="271"/>
      <c r="X37" s="293" t="s">
        <v>220</v>
      </c>
      <c r="Y37" s="291"/>
    </row>
    <row r="38" spans="2:25" ht="16.2" thickBot="1" x14ac:dyDescent="0.35">
      <c r="B38" s="640" t="s">
        <v>50</v>
      </c>
      <c r="C38" s="457"/>
      <c r="D38" s="457"/>
      <c r="E38" s="642" t="str">
        <f>VLOOKUP(F8,Марка_мет,6,FALSE())</f>
        <v>25010.00177</v>
      </c>
      <c r="F38" s="457"/>
      <c r="G38" s="457" t="s">
        <v>51</v>
      </c>
      <c r="H38" s="457"/>
      <c r="I38" s="642">
        <f>ROUNDUP(M5*M5*3.1415296*(H25+M7+M11)*2.045/4000000,0)</f>
        <v>1471</v>
      </c>
      <c r="J38" s="666"/>
      <c r="Q38" s="1142"/>
      <c r="R38" s="1143">
        <v>7.5</v>
      </c>
      <c r="S38" s="275">
        <v>60</v>
      </c>
      <c r="T38" s="277">
        <f>S38</f>
        <v>60</v>
      </c>
      <c r="U38" s="275">
        <v>60</v>
      </c>
      <c r="V38" s="270">
        <f>U38</f>
        <v>60</v>
      </c>
      <c r="W38" s="271"/>
      <c r="X38" s="271">
        <f>(X34*X34*3.1415926*X36*R38/4000000)*2</f>
        <v>16.964600040000004</v>
      </c>
      <c r="Y38" s="291"/>
    </row>
    <row r="39" spans="2:25" ht="15.6" x14ac:dyDescent="0.3">
      <c r="B39" s="640" t="s">
        <v>52</v>
      </c>
      <c r="C39" s="457"/>
      <c r="D39" s="457"/>
      <c r="E39" s="642" t="str">
        <f>IF(F10&gt;1900,Данные!G4,Данные!G3)</f>
        <v>25011.00008</v>
      </c>
      <c r="F39" s="457"/>
      <c r="G39" s="457" t="s">
        <v>53</v>
      </c>
      <c r="H39" s="457" t="s">
        <v>54</v>
      </c>
      <c r="I39" s="667"/>
      <c r="J39" s="666"/>
      <c r="Q39" s="1145"/>
      <c r="R39" s="280">
        <f>R34*R34*3.1415926*R37*R38/4000000</f>
        <v>14.895566788593751</v>
      </c>
      <c r="S39" s="281" t="s">
        <v>89</v>
      </c>
      <c r="T39" s="270"/>
      <c r="U39" s="281" t="s">
        <v>206</v>
      </c>
      <c r="V39" s="270"/>
      <c r="W39" s="271"/>
      <c r="X39" s="271"/>
      <c r="Y39" s="291"/>
    </row>
    <row r="40" spans="2:25" ht="15.6" x14ac:dyDescent="0.3">
      <c r="B40" s="640" t="s">
        <v>942</v>
      </c>
      <c r="C40" s="457"/>
      <c r="D40" s="457"/>
      <c r="E40" s="654" t="str">
        <f>VLOOKUP(F8,Марка_мет,2,0)&amp;"   °C"</f>
        <v>1020-1060   °C</v>
      </c>
      <c r="F40" s="457"/>
      <c r="G40" s="457" t="s">
        <v>55</v>
      </c>
      <c r="H40" s="457" t="s">
        <v>56</v>
      </c>
      <c r="I40" s="668"/>
      <c r="J40" s="664"/>
      <c r="Q40" s="276"/>
      <c r="R40" s="270"/>
      <c r="S40" s="275">
        <v>100</v>
      </c>
      <c r="T40" s="277">
        <f>S40</f>
        <v>100</v>
      </c>
      <c r="U40" s="275">
        <v>1945</v>
      </c>
      <c r="V40" s="282">
        <f>2*3.1415926*U43/2</f>
        <v>6613.0524230000001</v>
      </c>
      <c r="W40" s="271"/>
      <c r="X40" s="271"/>
      <c r="Y40" s="291"/>
    </row>
    <row r="41" spans="2:25" ht="15.6" x14ac:dyDescent="0.3">
      <c r="B41" s="640" t="s">
        <v>57</v>
      </c>
      <c r="C41" s="457"/>
      <c r="D41" s="457"/>
      <c r="E41" s="654" t="s">
        <v>58</v>
      </c>
      <c r="F41" s="457"/>
      <c r="G41" s="457" t="s">
        <v>59</v>
      </c>
      <c r="H41" s="457"/>
      <c r="I41" s="669"/>
      <c r="J41" s="664"/>
      <c r="Q41" s="276"/>
      <c r="R41" s="271"/>
      <c r="S41" s="281" t="s">
        <v>175</v>
      </c>
      <c r="T41" s="270"/>
      <c r="U41" s="281" t="s">
        <v>207</v>
      </c>
      <c r="V41" s="270"/>
      <c r="W41" s="281" t="s">
        <v>208</v>
      </c>
      <c r="X41" s="271"/>
      <c r="Y41" s="291"/>
    </row>
    <row r="42" spans="2:25" ht="15.6" x14ac:dyDescent="0.3">
      <c r="B42" s="640" t="s">
        <v>60</v>
      </c>
      <c r="C42" s="457"/>
      <c r="D42" s="457"/>
      <c r="E42" s="679">
        <v>1.4999999999999999E-2</v>
      </c>
      <c r="F42" s="457"/>
      <c r="G42" s="457" t="s">
        <v>61</v>
      </c>
      <c r="H42" s="457"/>
      <c r="I42" s="663"/>
      <c r="J42" s="664"/>
      <c r="Q42" s="276"/>
      <c r="R42" s="271"/>
      <c r="S42" s="275">
        <v>4</v>
      </c>
      <c r="T42" s="277">
        <f>S42</f>
        <v>4</v>
      </c>
      <c r="U42" s="281" t="s">
        <v>209</v>
      </c>
      <c r="V42" s="270"/>
      <c r="W42" s="275">
        <v>108</v>
      </c>
      <c r="X42" s="271"/>
      <c r="Y42" s="291"/>
    </row>
    <row r="43" spans="2:25" ht="15.6" x14ac:dyDescent="0.3">
      <c r="B43" s="640" t="s">
        <v>55</v>
      </c>
      <c r="C43" s="457"/>
      <c r="D43" s="457"/>
      <c r="E43" s="654" t="s">
        <v>56</v>
      </c>
      <c r="F43" s="646"/>
      <c r="G43" s="457" t="s">
        <v>62</v>
      </c>
      <c r="H43" s="457"/>
      <c r="I43" s="457"/>
      <c r="J43" s="644"/>
      <c r="Q43" s="276"/>
      <c r="R43" s="271"/>
      <c r="S43" s="271"/>
      <c r="T43" s="278">
        <f>R38</f>
        <v>7.5</v>
      </c>
      <c r="U43" s="270">
        <f>U40+S40+U38</f>
        <v>2105</v>
      </c>
      <c r="V43" s="278">
        <f>R38</f>
        <v>7.5</v>
      </c>
      <c r="W43" s="270" t="s">
        <v>210</v>
      </c>
      <c r="X43" s="271"/>
      <c r="Y43" s="291"/>
    </row>
    <row r="44" spans="2:25" ht="16.2" thickBot="1" x14ac:dyDescent="0.35">
      <c r="B44" s="640" t="s">
        <v>63</v>
      </c>
      <c r="C44" s="457"/>
      <c r="D44" s="457"/>
      <c r="E44" s="841" t="str">
        <f>Данные!B257</f>
        <v>242.04.463-1</v>
      </c>
      <c r="F44" s="654"/>
      <c r="G44" s="457" t="s">
        <v>64</v>
      </c>
      <c r="H44" s="457"/>
      <c r="I44" s="457"/>
      <c r="J44" s="644"/>
      <c r="Q44" s="283"/>
      <c r="R44" s="284"/>
      <c r="S44" s="284"/>
      <c r="T44" s="285">
        <f>T36*T38*T40*T42*T43/1000000</f>
        <v>10.35</v>
      </c>
      <c r="U44" s="284"/>
      <c r="V44" s="286">
        <f>V36*V38*V40*V43/1000000</f>
        <v>239.55782402317499</v>
      </c>
      <c r="W44" s="285">
        <f>V44/360*W42</f>
        <v>71.867347206952488</v>
      </c>
      <c r="X44" s="294"/>
      <c r="Y44" s="287">
        <f>R39+T44+W44+X38</f>
        <v>114.07751403554624</v>
      </c>
    </row>
    <row r="45" spans="2:25" ht="15.6" x14ac:dyDescent="0.3">
      <c r="B45" s="640"/>
      <c r="C45" s="457"/>
      <c r="D45" s="457"/>
      <c r="E45" s="654" t="str">
        <f>IF(F13&gt;=1000," (две щели)"," (одна щель)")</f>
        <v xml:space="preserve"> (две щели)</v>
      </c>
      <c r="F45" s="649"/>
      <c r="G45" s="457" t="s">
        <v>65</v>
      </c>
      <c r="H45" s="457"/>
      <c r="I45" s="457"/>
      <c r="J45" s="644"/>
    </row>
    <row r="46" spans="2:25" ht="15.6" x14ac:dyDescent="0.3">
      <c r="B46" s="640"/>
      <c r="C46" s="457"/>
      <c r="D46" s="457"/>
      <c r="E46" s="654"/>
      <c r="F46" s="654"/>
      <c r="G46" s="636"/>
      <c r="H46" s="457"/>
      <c r="I46" s="457"/>
      <c r="J46" s="644"/>
    </row>
    <row r="47" spans="2:25" ht="15.6" x14ac:dyDescent="0.3">
      <c r="B47" s="640"/>
      <c r="C47" s="457"/>
      <c r="D47" s="457"/>
      <c r="E47" s="654"/>
      <c r="F47" s="654"/>
      <c r="G47" s="457"/>
      <c r="H47" s="457"/>
      <c r="I47" s="457"/>
      <c r="J47" s="644"/>
    </row>
    <row r="48" spans="2:25" ht="16.2" thickBot="1" x14ac:dyDescent="0.35">
      <c r="B48" s="640"/>
      <c r="C48" s="457" t="s">
        <v>66</v>
      </c>
      <c r="D48" s="457"/>
      <c r="E48" s="654"/>
      <c r="F48" s="654" t="s">
        <v>67</v>
      </c>
      <c r="G48" s="457"/>
      <c r="H48" s="457"/>
      <c r="I48" s="457"/>
      <c r="J48" s="644"/>
    </row>
    <row r="49" spans="2:13" ht="16.2" thickBot="1" x14ac:dyDescent="0.35">
      <c r="B49" s="647"/>
      <c r="C49" s="641" t="s">
        <v>68</v>
      </c>
      <c r="D49" s="648"/>
      <c r="E49" s="680" t="s">
        <v>69</v>
      </c>
      <c r="F49" s="681" t="s">
        <v>68</v>
      </c>
      <c r="G49" s="648"/>
      <c r="H49" s="641" t="s">
        <v>70</v>
      </c>
      <c r="I49" s="641"/>
      <c r="J49" s="648"/>
    </row>
    <row r="50" spans="2:13" ht="16.2" thickBot="1" x14ac:dyDescent="0.35">
      <c r="B50" s="1493">
        <f ca="1">TODAY()</f>
        <v>45420</v>
      </c>
      <c r="C50" s="1508"/>
      <c r="D50" s="1509"/>
      <c r="E50" s="682"/>
      <c r="F50" s="683"/>
      <c r="G50" s="684"/>
      <c r="H50" s="685"/>
      <c r="I50" s="685"/>
      <c r="J50" s="684"/>
    </row>
    <row r="51" spans="2:13" ht="16.2" thickBot="1" x14ac:dyDescent="0.35">
      <c r="B51" s="658"/>
      <c r="C51" s="659" t="s">
        <v>71</v>
      </c>
      <c r="D51" s="684"/>
      <c r="E51" s="686"/>
      <c r="F51" s="659"/>
      <c r="G51" s="659"/>
      <c r="H51" s="659"/>
      <c r="I51" s="659"/>
      <c r="J51" s="687"/>
    </row>
    <row r="52" spans="2:13" s="43" customFormat="1" ht="16.2" thickBot="1" x14ac:dyDescent="0.35">
      <c r="B52" s="640"/>
      <c r="C52" s="457"/>
      <c r="D52" s="457"/>
      <c r="E52" s="457"/>
      <c r="F52" s="457"/>
      <c r="G52" s="457"/>
      <c r="H52" s="457"/>
      <c r="I52" s="457"/>
      <c r="J52" s="644"/>
      <c r="L52"/>
      <c r="M52"/>
    </row>
    <row r="53" spans="2:13" ht="15.6" x14ac:dyDescent="0.3">
      <c r="B53" s="688" t="s">
        <v>6</v>
      </c>
      <c r="C53" s="689"/>
      <c r="D53" s="690"/>
      <c r="E53" s="691" t="s">
        <v>297</v>
      </c>
      <c r="F53" s="692" t="s">
        <v>298</v>
      </c>
      <c r="G53" s="691" t="s">
        <v>298</v>
      </c>
      <c r="H53" s="691" t="s">
        <v>299</v>
      </c>
      <c r="I53" s="688" t="s">
        <v>300</v>
      </c>
      <c r="J53" s="690"/>
      <c r="L53" s="63">
        <v>300</v>
      </c>
      <c r="M53" s="43"/>
    </row>
    <row r="54" spans="2:13" ht="16.2" thickBot="1" x14ac:dyDescent="0.35">
      <c r="B54" s="693"/>
      <c r="C54" s="694" t="s">
        <v>301</v>
      </c>
      <c r="D54" s="695"/>
      <c r="E54" s="696" t="s">
        <v>302</v>
      </c>
      <c r="F54" s="696" t="s">
        <v>303</v>
      </c>
      <c r="G54" s="696" t="s">
        <v>304</v>
      </c>
      <c r="H54" s="696"/>
      <c r="I54" s="697" t="s">
        <v>305</v>
      </c>
      <c r="J54" s="695"/>
      <c r="L54" s="63">
        <v>600</v>
      </c>
    </row>
    <row r="55" spans="2:13" ht="16.2" thickBot="1" x14ac:dyDescent="0.35">
      <c r="B55" s="693"/>
      <c r="C55" s="694" t="s">
        <v>405</v>
      </c>
      <c r="D55" s="694"/>
      <c r="E55" s="698">
        <v>40</v>
      </c>
      <c r="F55" s="699">
        <v>1</v>
      </c>
      <c r="G55" s="698">
        <v>20</v>
      </c>
      <c r="H55" s="696">
        <v>3</v>
      </c>
      <c r="I55" s="1491">
        <f>ROUND(F14/L53,3)</f>
        <v>11.787000000000001</v>
      </c>
      <c r="J55" s="1492"/>
      <c r="K55" s="63">
        <v>200</v>
      </c>
    </row>
    <row r="56" spans="2:13" ht="16.2" thickBot="1" x14ac:dyDescent="0.35">
      <c r="B56" s="693"/>
      <c r="C56" s="694" t="s">
        <v>49</v>
      </c>
      <c r="D56" s="694"/>
      <c r="E56" s="700">
        <v>40</v>
      </c>
      <c r="F56" s="701">
        <v>1</v>
      </c>
      <c r="G56" s="700">
        <v>20</v>
      </c>
      <c r="H56" s="696">
        <v>4</v>
      </c>
      <c r="I56" s="1491">
        <f>ROUND(F14/L54,3)</f>
        <v>5.8929999999999998</v>
      </c>
      <c r="J56" s="1492"/>
      <c r="K56" s="63">
        <v>300</v>
      </c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4">
    <mergeCell ref="I56:J56"/>
    <mergeCell ref="L16:M16"/>
    <mergeCell ref="I55:J55"/>
    <mergeCell ref="B50:D50"/>
  </mergeCells>
  <pageMargins left="0.7" right="0.7" top="0.75" bottom="0.75" header="0.3" footer="0.3"/>
  <pageSetup paperSize="9" scale="3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zoomScale="85" zoomScaleNormal="85" workbookViewId="0">
      <selection activeCell="O15" sqref="O15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1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407</v>
      </c>
      <c r="M1" s="1554" t="s">
        <v>281</v>
      </c>
      <c r="N1" s="1555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1124</v>
      </c>
      <c r="L2" s="4"/>
    </row>
    <row r="3" spans="2:25" ht="15" thickBot="1" x14ac:dyDescent="0.35">
      <c r="B3" s="4"/>
      <c r="C3" s="71" t="s">
        <v>2</v>
      </c>
      <c r="D3" s="71"/>
      <c r="E3" s="71"/>
      <c r="F3" s="613" t="s">
        <v>1271</v>
      </c>
      <c r="G3" s="6"/>
      <c r="H3" s="71"/>
      <c r="I3" s="85"/>
      <c r="J3" s="85"/>
      <c r="K3" s="86"/>
      <c r="L3" s="341"/>
      <c r="M3" s="1538" t="s">
        <v>30</v>
      </c>
      <c r="N3" s="1539"/>
      <c r="O3" s="1370"/>
      <c r="P3" s="341"/>
      <c r="Q3" s="1064"/>
      <c r="R3" s="1560" t="s">
        <v>940</v>
      </c>
      <c r="S3" s="1560"/>
      <c r="T3" s="1560"/>
      <c r="U3" s="1560"/>
      <c r="V3" s="1560"/>
      <c r="W3" s="1065"/>
    </row>
    <row r="4" spans="2:25" ht="15" thickBot="1" x14ac:dyDescent="0.35">
      <c r="B4" s="4"/>
      <c r="C4" s="59" t="s">
        <v>4</v>
      </c>
      <c r="D4" s="59"/>
      <c r="E4" s="59"/>
      <c r="F4" s="630">
        <v>1472005</v>
      </c>
      <c r="G4" s="143"/>
      <c r="H4" s="60"/>
      <c r="I4" s="59"/>
      <c r="J4" s="59"/>
      <c r="K4" s="10"/>
      <c r="L4" s="59"/>
      <c r="M4" s="1350" t="s">
        <v>188</v>
      </c>
      <c r="N4" s="1369">
        <v>191</v>
      </c>
      <c r="O4" s="70"/>
      <c r="P4" s="59"/>
      <c r="Q4" s="1115" t="s">
        <v>1043</v>
      </c>
      <c r="R4" s="1288">
        <v>1</v>
      </c>
      <c r="S4" s="1288">
        <v>2</v>
      </c>
      <c r="T4" s="1288">
        <v>3</v>
      </c>
      <c r="U4" s="1289">
        <v>4</v>
      </c>
      <c r="V4" s="1063" t="s">
        <v>874</v>
      </c>
      <c r="W4" s="1062"/>
    </row>
    <row r="5" spans="2:25" ht="15" thickBot="1" x14ac:dyDescent="0.35">
      <c r="B5" s="4"/>
      <c r="C5" s="59" t="s">
        <v>6</v>
      </c>
      <c r="D5" s="59"/>
      <c r="E5" s="59"/>
      <c r="F5" s="630" t="s">
        <v>1272</v>
      </c>
      <c r="G5" s="1084"/>
      <c r="H5" s="60"/>
      <c r="I5" s="59"/>
      <c r="J5" s="59"/>
      <c r="K5" s="10"/>
      <c r="L5" s="59"/>
      <c r="M5" s="1350" t="s">
        <v>255</v>
      </c>
      <c r="N5" s="61">
        <v>151</v>
      </c>
      <c r="P5" s="59"/>
      <c r="Q5" s="1060"/>
      <c r="R5" s="59">
        <v>0</v>
      </c>
      <c r="S5" s="59">
        <v>0</v>
      </c>
      <c r="T5" s="59">
        <v>32.4</v>
      </c>
      <c r="U5" s="10">
        <v>34.1</v>
      </c>
      <c r="V5" s="628">
        <f>SUM(R5:U5)</f>
        <v>66.5</v>
      </c>
      <c r="W5" s="1062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80">
        <v>4</v>
      </c>
      <c r="G6" s="171"/>
      <c r="H6" s="17"/>
      <c r="I6" s="59"/>
      <c r="J6" s="59"/>
      <c r="K6" s="10"/>
      <c r="L6" s="59"/>
      <c r="M6" s="1350" t="s">
        <v>319</v>
      </c>
      <c r="N6" s="61">
        <v>24</v>
      </c>
      <c r="P6" s="59"/>
      <c r="Q6" s="1060"/>
      <c r="R6" s="1067">
        <f t="shared" ref="R6:U8" si="0">R5/$V5*$V6</f>
        <v>0</v>
      </c>
      <c r="S6" s="1067">
        <f t="shared" si="0"/>
        <v>0</v>
      </c>
      <c r="T6" s="1067">
        <f t="shared" si="0"/>
        <v>524.24661654135332</v>
      </c>
      <c r="U6" s="1116">
        <f t="shared" si="0"/>
        <v>551.75338345864668</v>
      </c>
      <c r="V6" s="1466">
        <v>1076</v>
      </c>
      <c r="W6" s="629" t="s">
        <v>1071</v>
      </c>
      <c r="X6" s="1111">
        <f>T6/$X$5</f>
        <v>87.374436090225558</v>
      </c>
      <c r="Y6" s="1111">
        <f t="shared" ref="X6:Y8" si="1">U6/$X$5</f>
        <v>91.958897243107785</v>
      </c>
    </row>
    <row r="7" spans="2:25" ht="15" thickBot="1" x14ac:dyDescent="0.35">
      <c r="B7" s="19"/>
      <c r="C7" s="65"/>
      <c r="D7" s="65"/>
      <c r="E7" s="65"/>
      <c r="F7" s="361"/>
      <c r="G7" s="65"/>
      <c r="H7" s="65"/>
      <c r="I7" s="65"/>
      <c r="J7" s="65"/>
      <c r="K7" s="40"/>
      <c r="L7" s="59"/>
      <c r="M7" s="1351" t="s">
        <v>1253</v>
      </c>
      <c r="N7" s="70">
        <v>4</v>
      </c>
      <c r="O7" s="59"/>
      <c r="P7" s="59"/>
      <c r="Q7" s="1060"/>
      <c r="R7" s="1067">
        <f t="shared" ref="R7" si="2">R6/$V6*$V7</f>
        <v>0</v>
      </c>
      <c r="S7" s="1067">
        <f t="shared" ref="S7" si="3">S6/$V6*$V7</f>
        <v>0</v>
      </c>
      <c r="T7" s="1067">
        <f t="shared" si="0"/>
        <v>524.24661654135332</v>
      </c>
      <c r="U7" s="1116">
        <f t="shared" si="0"/>
        <v>551.75338345864668</v>
      </c>
      <c r="V7" s="1466">
        <v>1076</v>
      </c>
      <c r="W7" s="629" t="s">
        <v>1070</v>
      </c>
      <c r="X7" s="1111">
        <f t="shared" si="1"/>
        <v>87.374436090225558</v>
      </c>
      <c r="Y7" s="1111">
        <f t="shared" si="1"/>
        <v>91.958897243107785</v>
      </c>
    </row>
    <row r="8" spans="2:25" ht="15" thickBot="1" x14ac:dyDescent="0.35">
      <c r="B8" s="12"/>
      <c r="C8" s="71" t="s">
        <v>16</v>
      </c>
      <c r="D8" s="71"/>
      <c r="E8" s="71"/>
      <c r="F8" s="360" t="s">
        <v>44</v>
      </c>
      <c r="G8" s="103"/>
      <c r="H8" s="71"/>
      <c r="I8" s="71"/>
      <c r="J8" s="71" t="s">
        <v>17</v>
      </c>
      <c r="K8" s="190">
        <f ca="1">F9/F11</f>
        <v>0.36538461538461547</v>
      </c>
      <c r="L8" s="1349"/>
      <c r="M8" s="1352" t="s">
        <v>12</v>
      </c>
      <c r="N8" s="170">
        <f>VLOOKUP(F8,Данные!A3:I27,9,FALSE)</f>
        <v>7.2</v>
      </c>
      <c r="O8" s="59"/>
      <c r="Q8" s="1061"/>
      <c r="R8" s="1068">
        <f t="shared" ref="R8" si="4">R7/$V7*$V8</f>
        <v>0</v>
      </c>
      <c r="S8" s="1068">
        <f t="shared" ref="S8" si="5">S7/$V7*$V8</f>
        <v>0</v>
      </c>
      <c r="T8" s="1068">
        <f t="shared" si="0"/>
        <v>545.68421052631572</v>
      </c>
      <c r="U8" s="1117">
        <f t="shared" si="0"/>
        <v>574.31578947368428</v>
      </c>
      <c r="V8" s="1466">
        <v>1120</v>
      </c>
      <c r="W8" s="629" t="s">
        <v>1040</v>
      </c>
      <c r="X8" s="1111">
        <f t="shared" si="1"/>
        <v>90.947368421052616</v>
      </c>
      <c r="Y8" s="1111">
        <f t="shared" si="1"/>
        <v>95.719298245614041</v>
      </c>
    </row>
    <row r="9" spans="2:25" x14ac:dyDescent="0.3">
      <c r="B9" s="4"/>
      <c r="C9" s="59" t="s">
        <v>19</v>
      </c>
      <c r="D9" s="59"/>
      <c r="E9" s="59"/>
      <c r="F9" s="621">
        <f>IF(N10&lt;&gt;0,N10,IF(N9&lt;100,ROUNDUP(N9,1),ROUNDUP(N9,0)))</f>
        <v>1.9000000000000001</v>
      </c>
      <c r="G9" s="362"/>
      <c r="H9" s="17"/>
      <c r="I9" s="59"/>
      <c r="J9" s="59" t="s">
        <v>23</v>
      </c>
      <c r="K9" s="15">
        <f ca="1">F9/F13</f>
        <v>0.35185185185185192</v>
      </c>
      <c r="L9" s="183"/>
      <c r="M9" s="1353" t="s">
        <v>335</v>
      </c>
      <c r="N9" s="1312">
        <f>IF(O4=0,(N4*N4-N5*N5)*N6*3.1415926*N8/4000000,(O4*O4-N5*N5)*N6*3.1415926*N8/4000000)</f>
        <v>1.8566058283776001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20.5</v>
      </c>
      <c r="G10" s="16"/>
      <c r="H10" s="17"/>
      <c r="I10" s="59"/>
      <c r="J10" s="59"/>
      <c r="K10" s="18"/>
      <c r="L10" s="524"/>
      <c r="M10" s="401" t="s">
        <v>336</v>
      </c>
      <c r="N10" s="132"/>
    </row>
    <row r="11" spans="2:25" ht="15" thickBot="1" x14ac:dyDescent="0.35">
      <c r="B11" s="4"/>
      <c r="C11" s="60" t="s">
        <v>317</v>
      </c>
      <c r="D11" s="59"/>
      <c r="E11" s="59"/>
      <c r="F11" s="144">
        <f ca="1">ROUNDUP(F10/F14,1)</f>
        <v>5.1999999999999993</v>
      </c>
      <c r="G11" s="16"/>
      <c r="H11" s="17"/>
      <c r="I11" s="59"/>
      <c r="J11" s="59"/>
      <c r="K11" s="18"/>
      <c r="L11" s="524"/>
      <c r="M11" s="1540" t="s">
        <v>320</v>
      </c>
      <c r="N11" s="1541"/>
      <c r="P11" s="43"/>
      <c r="Q11" s="1556" t="s">
        <v>957</v>
      </c>
      <c r="R11" s="1557"/>
      <c r="S11" s="1179">
        <v>245</v>
      </c>
      <c r="T11" s="757" t="s">
        <v>958</v>
      </c>
      <c r="U11" s="75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21.400000000000002</v>
      </c>
      <c r="G12" s="16"/>
      <c r="H12" s="17"/>
      <c r="I12" s="59"/>
      <c r="J12" s="59"/>
      <c r="K12" s="18"/>
      <c r="L12" s="524"/>
      <c r="M12" s="400" t="s">
        <v>388</v>
      </c>
      <c r="N12" s="191">
        <f>Данные!L166</f>
        <v>4.5</v>
      </c>
      <c r="P12" s="43"/>
      <c r="Q12" s="1558" t="s">
        <v>947</v>
      </c>
      <c r="R12" s="1559"/>
      <c r="S12" s="759">
        <v>640</v>
      </c>
      <c r="T12" s="777" t="s">
        <v>12</v>
      </c>
      <c r="U12" s="778">
        <v>7.5</v>
      </c>
    </row>
    <row r="13" spans="2:25" ht="15" thickBot="1" x14ac:dyDescent="0.35">
      <c r="B13" s="4"/>
      <c r="C13" s="60" t="s">
        <v>318</v>
      </c>
      <c r="D13" s="59"/>
      <c r="E13" s="59"/>
      <c r="F13" s="144">
        <f ca="1">ROUNDUP(F12/F14,1)</f>
        <v>5.3999999999999995</v>
      </c>
      <c r="G13" s="79"/>
      <c r="H13" s="17"/>
      <c r="I13" s="59"/>
      <c r="J13" s="59"/>
      <c r="K13" s="18"/>
      <c r="L13" s="524"/>
      <c r="M13" s="400" t="s">
        <v>389</v>
      </c>
      <c r="N13" s="191">
        <f ca="1">Данные!M167</f>
        <v>6.5</v>
      </c>
      <c r="P13" s="43"/>
      <c r="Q13" s="1558" t="s">
        <v>331</v>
      </c>
      <c r="R13" s="1559"/>
      <c r="S13" s="759">
        <v>110</v>
      </c>
      <c r="T13" s="760"/>
      <c r="U13" s="1447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1">
        <f>N7</f>
        <v>4</v>
      </c>
      <c r="G14" s="21"/>
      <c r="H14" s="65"/>
      <c r="I14" s="65"/>
      <c r="J14" s="65"/>
      <c r="K14" s="22"/>
      <c r="L14" s="524"/>
      <c r="M14" s="401" t="s">
        <v>390</v>
      </c>
      <c r="N14" s="192">
        <f ca="1">Данные!L160</f>
        <v>1</v>
      </c>
      <c r="Q14" s="1558" t="s">
        <v>332</v>
      </c>
      <c r="R14" s="1559"/>
      <c r="S14" s="759">
        <v>640</v>
      </c>
      <c r="T14" s="760"/>
      <c r="U14" s="761"/>
    </row>
    <row r="15" spans="2:25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400" t="s">
        <v>387</v>
      </c>
      <c r="N15" s="191">
        <f ca="1">Данные!K169</f>
        <v>30</v>
      </c>
      <c r="Q15" s="1542" t="s">
        <v>175</v>
      </c>
      <c r="R15" s="1543"/>
      <c r="S15" s="762">
        <v>1</v>
      </c>
      <c r="T15" s="1044"/>
      <c r="U15" s="76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4"/>
      <c r="M16" s="401" t="s">
        <v>47</v>
      </c>
      <c r="N16" s="192">
        <f>Данные!M179</f>
        <v>8</v>
      </c>
      <c r="Q16" s="1544" t="s">
        <v>22</v>
      </c>
      <c r="R16" s="1545"/>
      <c r="S16" s="763">
        <f>((U11*U11-S13*S13)*3.1415926*S14*U12)/4000000</f>
        <v>200.80599132285329</v>
      </c>
      <c r="T16" s="497" t="s">
        <v>1059</v>
      </c>
      <c r="U16" s="1046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4"/>
      <c r="M17" s="1449" t="s">
        <v>1148</v>
      </c>
      <c r="N17" s="1450">
        <f ca="1">(N25*0.99-N19)/2</f>
        <v>30.25</v>
      </c>
      <c r="Q17" s="1546" t="s">
        <v>948</v>
      </c>
      <c r="R17" s="1547"/>
      <c r="S17" s="764">
        <f>S16/S15</f>
        <v>200.80599132285329</v>
      </c>
      <c r="T17" s="1045" t="s">
        <v>1060</v>
      </c>
      <c r="U17" s="884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54" t="s">
        <v>385</v>
      </c>
      <c r="N18" s="1085">
        <f ca="1">IF(F32&lt;60,N4+(N12*2),(F32+F31)/60+N25)</f>
        <v>200</v>
      </c>
      <c r="Q18" s="1546" t="s">
        <v>32</v>
      </c>
      <c r="R18" s="1547"/>
      <c r="S18" s="764">
        <f>S16*1.04</f>
        <v>208.83823097576743</v>
      </c>
      <c r="T18" s="1015" t="s">
        <v>1058</v>
      </c>
      <c r="U18" s="884">
        <v>520</v>
      </c>
    </row>
    <row r="19" spans="2:23" x14ac:dyDescent="0.3">
      <c r="B19" s="124"/>
      <c r="C19" s="125" t="str">
        <f>"Ø "&amp;ROUND(N25*0.99,0)</f>
        <v>Ø 198</v>
      </c>
      <c r="D19" s="59"/>
      <c r="E19" s="59"/>
      <c r="F19" s="17"/>
      <c r="G19" s="17"/>
      <c r="H19" s="131" t="str">
        <f ca="1">"Ø "&amp;N19</f>
        <v>Ø 137,5</v>
      </c>
      <c r="I19" s="59"/>
      <c r="J19" s="59"/>
      <c r="K19" s="10"/>
      <c r="L19" s="59"/>
      <c r="M19" s="1354" t="s">
        <v>386</v>
      </c>
      <c r="N19" s="193">
        <f ca="1">_xlfn.FLOOR.MATH(N5-(Данные!M167*2),2.5)</f>
        <v>137.5</v>
      </c>
      <c r="Q19" s="1546" t="s">
        <v>949</v>
      </c>
      <c r="R19" s="1547"/>
      <c r="S19" s="764">
        <f>S17*1.04</f>
        <v>208.83823097576743</v>
      </c>
      <c r="T19" s="1015" t="s">
        <v>261</v>
      </c>
      <c r="U19" s="884"/>
      <c r="W19" s="1111"/>
    </row>
    <row r="20" spans="2:23" ht="15" thickBot="1" x14ac:dyDescent="0.35">
      <c r="B20" s="4"/>
      <c r="C20" s="133" t="str">
        <f>IF(O4=0,"( "&amp;N4&amp;" )","( "&amp;O4&amp;" )")</f>
        <v>( 191 )</v>
      </c>
      <c r="D20" s="59"/>
      <c r="E20" s="59"/>
      <c r="F20" s="17"/>
      <c r="G20" s="17"/>
      <c r="H20" s="130" t="str">
        <f>"( "&amp;N5&amp;" )"</f>
        <v>( 151 )</v>
      </c>
      <c r="I20" s="402"/>
      <c r="J20" s="59"/>
      <c r="K20" s="120"/>
      <c r="L20" s="1345"/>
      <c r="M20" s="1354" t="s">
        <v>332</v>
      </c>
      <c r="N20" s="193">
        <f ca="1">IF(N7=1,MROUND((N6+N15),1),MROUND(((N6+N16)*N7+N15),1))</f>
        <v>158</v>
      </c>
      <c r="Q20" s="1546" t="s">
        <v>950</v>
      </c>
      <c r="R20" s="1547"/>
      <c r="S20" s="764">
        <f>U21/S17</f>
        <v>1.588598018906298</v>
      </c>
      <c r="T20" s="1016" t="s">
        <v>262</v>
      </c>
      <c r="U20" s="885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9"/>
      <c r="I21" s="59"/>
      <c r="J21" s="59"/>
      <c r="K21" s="18"/>
      <c r="L21" s="524"/>
      <c r="M21" s="1355" t="s">
        <v>761</v>
      </c>
      <c r="N21" s="40">
        <f ca="1">IF(F32&lt;20,F32,0)</f>
        <v>0</v>
      </c>
      <c r="Q21" s="1548" t="s">
        <v>951</v>
      </c>
      <c r="R21" s="1549"/>
      <c r="S21" s="888">
        <f>U21/S19</f>
        <v>1.5274980951022095</v>
      </c>
      <c r="T21" s="886" t="s">
        <v>19</v>
      </c>
      <c r="U21" s="1275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4"/>
      <c r="M22" s="1356" t="s">
        <v>329</v>
      </c>
      <c r="N22" s="189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1357" t="s">
        <v>397</v>
      </c>
      <c r="N23" s="203">
        <f>ROUNDUP((N4+(N12*2))/0.99/2.5,0)*2.5</f>
        <v>202.5</v>
      </c>
      <c r="Q23" s="1227" t="s">
        <v>1159</v>
      </c>
      <c r="R23" s="1228"/>
      <c r="S23" s="1229"/>
      <c r="U23" t="s">
        <v>1237</v>
      </c>
    </row>
    <row r="24" spans="2:23" x14ac:dyDescent="0.3">
      <c r="B24" s="4"/>
      <c r="C24" s="59"/>
      <c r="D24" s="59"/>
      <c r="E24" s="119">
        <f ca="1">N20+N21</f>
        <v>158</v>
      </c>
      <c r="F24" s="59"/>
      <c r="G24" s="59"/>
      <c r="H24" s="59"/>
      <c r="I24" s="59"/>
      <c r="J24" s="59"/>
      <c r="K24" s="18"/>
      <c r="L24" s="524"/>
      <c r="M24" s="1357" t="s">
        <v>398</v>
      </c>
      <c r="N24" s="204">
        <f ca="1">F33+F31</f>
        <v>201</v>
      </c>
      <c r="Q24" s="1241" t="s">
        <v>1160</v>
      </c>
      <c r="R24" s="1242"/>
      <c r="S24" s="1243">
        <v>100</v>
      </c>
      <c r="U24" t="s">
        <v>1214</v>
      </c>
    </row>
    <row r="25" spans="2:23" ht="15" thickBot="1" x14ac:dyDescent="0.35">
      <c r="B25" s="4"/>
      <c r="C25" s="59"/>
      <c r="D25" s="59"/>
      <c r="E25" s="130" t="str">
        <f>"( "&amp;N6&amp;" )"</f>
        <v>( 24 )</v>
      </c>
      <c r="F25" s="1083"/>
      <c r="G25" s="23"/>
      <c r="H25" s="59"/>
      <c r="I25" s="59"/>
      <c r="J25" s="59"/>
      <c r="K25" s="18"/>
      <c r="L25" s="524"/>
      <c r="M25" s="1358" t="s">
        <v>204</v>
      </c>
      <c r="N25" s="1359">
        <v>200</v>
      </c>
      <c r="Q25" s="19" t="s">
        <v>1161</v>
      </c>
      <c r="R25" s="65"/>
      <c r="S25" s="1199">
        <v>3</v>
      </c>
      <c r="U25" t="s">
        <v>1215</v>
      </c>
    </row>
    <row r="26" spans="2:23" ht="15" thickBot="1" x14ac:dyDescent="0.35">
      <c r="B26" s="19"/>
      <c r="C26" s="65"/>
      <c r="D26" s="65"/>
      <c r="E26" s="129"/>
      <c r="F26" s="1213"/>
      <c r="G26" s="172"/>
      <c r="H26" s="65"/>
      <c r="I26" s="65"/>
      <c r="J26" s="65"/>
      <c r="K26" s="1197"/>
      <c r="L26" s="524"/>
      <c r="M26" s="1350" t="s">
        <v>89</v>
      </c>
      <c r="N26" s="1359">
        <v>260</v>
      </c>
      <c r="Q26" s="1230" t="s">
        <v>1162</v>
      </c>
      <c r="R26" s="1231"/>
      <c r="S26" s="1232">
        <v>12</v>
      </c>
      <c r="T26" t="s">
        <v>1191</v>
      </c>
      <c r="U26" t="s">
        <v>1216</v>
      </c>
    </row>
    <row r="27" spans="2:23" ht="15" thickBot="1" x14ac:dyDescent="0.35">
      <c r="B27" s="1"/>
      <c r="C27" s="2"/>
      <c r="D27" s="2"/>
      <c r="E27" s="91" t="s">
        <v>280</v>
      </c>
      <c r="F27" s="71"/>
      <c r="G27" s="71"/>
      <c r="H27" s="2"/>
      <c r="I27" s="2"/>
      <c r="J27" s="2"/>
      <c r="K27" s="398"/>
      <c r="L27" s="524"/>
      <c r="M27" s="400" t="s">
        <v>662</v>
      </c>
      <c r="N27" s="1360">
        <f>N26/60+N25</f>
        <v>204.33333333333334</v>
      </c>
      <c r="Q27" s="1235" t="s">
        <v>1164</v>
      </c>
      <c r="R27" s="1236"/>
      <c r="S27" s="1237">
        <v>3</v>
      </c>
      <c r="U27" t="s">
        <v>1217</v>
      </c>
    </row>
    <row r="28" spans="2:23" ht="15" thickBot="1" x14ac:dyDescent="0.35">
      <c r="B28" s="93" t="s">
        <v>281</v>
      </c>
      <c r="C28" s="2"/>
      <c r="D28" s="2"/>
      <c r="E28" s="93" t="s">
        <v>204</v>
      </c>
      <c r="F28" s="1561" t="s">
        <v>89</v>
      </c>
      <c r="G28" s="1562"/>
      <c r="H28" s="1514" t="s">
        <v>1072</v>
      </c>
      <c r="I28" s="1516"/>
      <c r="J28" s="1515"/>
      <c r="K28" s="97" t="s">
        <v>282</v>
      </c>
      <c r="L28" s="1281"/>
      <c r="M28" s="400" t="s">
        <v>661</v>
      </c>
      <c r="N28" s="1360">
        <f>N26/30+N25</f>
        <v>208.66666666666666</v>
      </c>
      <c r="Q28" s="1238" t="s">
        <v>1045</v>
      </c>
      <c r="R28" s="1239"/>
      <c r="S28" s="1240">
        <v>40</v>
      </c>
    </row>
    <row r="29" spans="2:23" ht="15" thickBot="1" x14ac:dyDescent="0.35">
      <c r="B29" s="98" t="s">
        <v>283</v>
      </c>
      <c r="C29" s="59"/>
      <c r="D29" s="59"/>
      <c r="E29" s="123">
        <f>N25</f>
        <v>200</v>
      </c>
      <c r="F29" s="16">
        <f>N26</f>
        <v>260</v>
      </c>
      <c r="G29" s="16"/>
      <c r="H29" s="1517" t="str">
        <f>VLOOKUP(N25,Данные!AD79:AH1155,5,FALSE)</f>
        <v>72.11870 - 25</v>
      </c>
      <c r="I29" s="1518"/>
      <c r="J29" s="1519"/>
      <c r="K29" s="363"/>
      <c r="L29" s="344"/>
      <c r="M29" s="1361" t="s">
        <v>256</v>
      </c>
      <c r="N29" s="1362">
        <f ca="1">ROUNDUP((N27*N27-N19*N19)*3.1415926*(N20+N21)*N8/4000000,1)</f>
        <v>20.5</v>
      </c>
      <c r="O29" s="140"/>
      <c r="S29" s="1276">
        <f>S24*S25+S26*S27+S28</f>
        <v>376</v>
      </c>
    </row>
    <row r="30" spans="2:23" ht="15" thickBot="1" x14ac:dyDescent="0.35">
      <c r="B30" s="98" t="s">
        <v>284</v>
      </c>
      <c r="C30" s="59"/>
      <c r="D30" s="59"/>
      <c r="E30" s="99">
        <f ca="1">N19</f>
        <v>137.5</v>
      </c>
      <c r="F30" s="16"/>
      <c r="G30" s="16"/>
      <c r="H30" s="1520" t="str">
        <f ca="1">VLOOKUP(Данные!AO27,Данные!AO4:AP23,2)&amp;" - "&amp;RANDBETWEEN(1,15)</f>
        <v>72.11878 - 1</v>
      </c>
      <c r="I30" s="1521"/>
      <c r="J30" s="1522"/>
      <c r="K30" s="364"/>
      <c r="L30" s="1346"/>
      <c r="M30" s="399" t="s">
        <v>90</v>
      </c>
      <c r="N30" s="140"/>
      <c r="O30" s="140"/>
      <c r="Q30" s="1510" t="s">
        <v>1213</v>
      </c>
      <c r="R30" s="1511"/>
      <c r="S30" s="1375">
        <f>ROUNDUP(S29/0.985+F31,0)</f>
        <v>422</v>
      </c>
    </row>
    <row r="31" spans="2:23" ht="15" thickBot="1" x14ac:dyDescent="0.35">
      <c r="B31" s="98" t="s">
        <v>285</v>
      </c>
      <c r="C31" s="59"/>
      <c r="D31" s="59"/>
      <c r="E31" s="99">
        <f>E29</f>
        <v>200</v>
      </c>
      <c r="F31" s="16">
        <v>40</v>
      </c>
      <c r="G31" s="16"/>
      <c r="H31" s="1520" t="str">
        <f>VLOOKUP(E31,Данные!AD79:AL1156,9)</f>
        <v>72.47213 - 170</v>
      </c>
      <c r="I31" s="1521"/>
      <c r="J31" s="1522"/>
      <c r="K31" s="100"/>
      <c r="L31" s="344"/>
      <c r="M31" s="754">
        <f>VLOOKUP(N25,Данные!AD79:AJ1157,7,FALSE)</f>
        <v>0</v>
      </c>
      <c r="N31" s="755"/>
      <c r="O31" s="140"/>
    </row>
    <row r="32" spans="2:23" ht="15" thickBot="1" x14ac:dyDescent="0.35">
      <c r="B32" s="98" t="s">
        <v>286</v>
      </c>
      <c r="C32" s="59"/>
      <c r="D32" s="59"/>
      <c r="E32" s="101"/>
      <c r="F32" s="16">
        <f ca="1">F29+F30-F31-F33</f>
        <v>59</v>
      </c>
      <c r="G32" s="16"/>
      <c r="H32" s="142"/>
      <c r="I32" s="172"/>
      <c r="J32" s="76"/>
      <c r="K32" s="365"/>
      <c r="L32" s="344"/>
      <c r="M32" s="1075"/>
      <c r="N32" s="1075"/>
      <c r="O32" s="140"/>
    </row>
    <row r="33" spans="2:15" x14ac:dyDescent="0.3">
      <c r="B33" s="12"/>
      <c r="C33" s="6" t="s">
        <v>287</v>
      </c>
      <c r="D33" s="71"/>
      <c r="E33" s="59"/>
      <c r="F33" s="102">
        <f ca="1">ROUNDUP(E24/0.985,0)</f>
        <v>161</v>
      </c>
      <c r="G33" s="102"/>
      <c r="H33" s="59"/>
      <c r="I33" s="59"/>
      <c r="J33" s="59"/>
      <c r="K33" s="13"/>
      <c r="L33" s="59"/>
      <c r="M33" s="389" t="s">
        <v>474</v>
      </c>
      <c r="N33" s="389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7" t="s">
        <v>664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250010.00001</v>
      </c>
      <c r="D35" s="71"/>
      <c r="E35" s="71"/>
      <c r="F35" s="103"/>
      <c r="G35" s="103"/>
      <c r="H35" s="71"/>
      <c r="I35" s="71"/>
      <c r="J35" s="71"/>
      <c r="K35" s="104"/>
      <c r="L35" s="524"/>
      <c r="M35" s="397" t="s">
        <v>665</v>
      </c>
      <c r="N35" s="43"/>
      <c r="O35" s="140"/>
    </row>
    <row r="36" spans="2:15" ht="15" thickBot="1" x14ac:dyDescent="0.35">
      <c r="B36" s="4"/>
      <c r="C36" s="11" t="s">
        <v>288</v>
      </c>
      <c r="D36" s="59"/>
      <c r="E36" s="59"/>
      <c r="F36" s="17"/>
      <c r="G36" s="17"/>
      <c r="H36" s="59"/>
      <c r="I36" s="59"/>
      <c r="J36" s="59"/>
      <c r="K36" s="18"/>
      <c r="L36" s="524"/>
      <c r="O36" s="140"/>
    </row>
    <row r="37" spans="2:15" x14ac:dyDescent="0.3">
      <c r="B37" s="12"/>
      <c r="C37" s="6" t="s">
        <v>289</v>
      </c>
      <c r="D37" s="71"/>
      <c r="E37" s="71"/>
      <c r="F37" s="105"/>
      <c r="G37" s="105"/>
      <c r="H37" s="71"/>
      <c r="I37" s="71"/>
      <c r="J37" s="71"/>
      <c r="K37" s="13"/>
      <c r="L37" s="59"/>
      <c r="M37" t="s">
        <v>1163</v>
      </c>
      <c r="O37" s="140"/>
    </row>
    <row r="38" spans="2:15" x14ac:dyDescent="0.3">
      <c r="B38" s="4"/>
      <c r="C38" s="11" t="s">
        <v>290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291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292</v>
      </c>
      <c r="D41" s="84"/>
      <c r="E41" s="94" t="s">
        <v>293</v>
      </c>
      <c r="F41" s="1514" t="s">
        <v>294</v>
      </c>
      <c r="G41" s="1515"/>
      <c r="H41" s="94" t="s">
        <v>295</v>
      </c>
      <c r="I41" s="1514" t="s">
        <v>296</v>
      </c>
      <c r="J41" s="1515"/>
      <c r="K41" s="94" t="s">
        <v>295</v>
      </c>
      <c r="L41" s="11"/>
    </row>
    <row r="42" spans="2:15" ht="15" thickBot="1" x14ac:dyDescent="0.35">
      <c r="B42" s="1"/>
      <c r="C42" s="1536">
        <f ca="1">TODAY()</f>
        <v>45420</v>
      </c>
      <c r="D42" s="1537"/>
      <c r="E42" s="78" t="s">
        <v>265</v>
      </c>
      <c r="F42" s="1512" t="s">
        <v>266</v>
      </c>
      <c r="G42" s="1513"/>
      <c r="H42" s="107"/>
      <c r="I42" s="1512"/>
      <c r="J42" s="1513"/>
      <c r="K42" s="107"/>
      <c r="L42" s="59"/>
      <c r="N42" s="43"/>
    </row>
    <row r="43" spans="2:15" ht="15" thickBot="1" x14ac:dyDescent="0.35">
      <c r="B43" s="1"/>
      <c r="C43" s="96" t="s">
        <v>71</v>
      </c>
      <c r="D43" s="84"/>
      <c r="E43" s="78"/>
      <c r="F43" s="1512"/>
      <c r="G43" s="1513"/>
      <c r="H43" s="107"/>
      <c r="I43" s="1512"/>
      <c r="J43" s="1513"/>
      <c r="K43" s="107"/>
      <c r="L43" s="59"/>
      <c r="N43" s="43"/>
    </row>
    <row r="45" spans="2:15" x14ac:dyDescent="0.3">
      <c r="N45" s="440"/>
    </row>
    <row r="46" spans="2:15" hidden="1" x14ac:dyDescent="0.3"/>
    <row r="47" spans="2:15" ht="15.6" hidden="1" x14ac:dyDescent="0.3">
      <c r="C47" s="781" t="s">
        <v>404</v>
      </c>
      <c r="D47" s="782"/>
      <c r="H47" s="43"/>
    </row>
    <row r="48" spans="2:15" hidden="1" x14ac:dyDescent="0.3">
      <c r="B48" s="43"/>
      <c r="C48" s="195"/>
      <c r="D48" s="196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265</v>
      </c>
      <c r="C49" s="197">
        <f>IF(COUNTIF(D$48:D49,D49)=1,MAX(C$48:C48)+1,"")</f>
        <v>1</v>
      </c>
      <c r="D49" s="198">
        <f t="array" ref="D49:D59">IFERROR(INDEX(Данные!$AE$4:$AE$1156,SMALL(IF(Данные!$AD$4:$AD$1156=$N$25,ROW(Данные!$AD$4:$AD$1156)-ROW(Данные!$AD$4)+1),ROW()-ROW($D$49)+1)),"")</f>
        <v>265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410</v>
      </c>
      <c r="C50" s="197" t="str">
        <f t="array" ref="C50">IF(COUNTIF(D$48:D50,D50)=1,MAX(C$48:C49)+1,"")</f>
        <v/>
      </c>
      <c r="D50" s="198">
        <v>265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260</v>
      </c>
      <c r="C51" s="197" t="str">
        <f t="array" ref="C51">IF(COUNTIF(D$48:D51,D51)=1,MAX(C$48:C50)+1,"")</f>
        <v/>
      </c>
      <c r="D51" s="198">
        <v>265</v>
      </c>
      <c r="E51" s="43"/>
      <c r="F51" s="43"/>
      <c r="H51" s="43"/>
      <c r="I51" s="43"/>
      <c r="J51" s="43"/>
      <c r="K51" s="43"/>
    </row>
    <row r="52" spans="2:14" hidden="1" x14ac:dyDescent="0.3">
      <c r="B52" s="43">
        <f t="shared" si="6"/>
        <v>262</v>
      </c>
      <c r="C52" s="197">
        <f t="array" ref="C52">IF(COUNTIF(D$48:D52,D52)=1,MAX(C$48:C51)+1,"")</f>
        <v>2</v>
      </c>
      <c r="D52" s="198">
        <v>410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>
        <f t="shared" si="6"/>
        <v>315</v>
      </c>
      <c r="C53" s="197" t="str">
        <f t="array" ref="C53">IF(COUNTIF(D$48:D53,D53)=1,MAX(C$48:C52)+1,"")</f>
        <v/>
      </c>
      <c r="D53" s="198">
        <v>265</v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7" t="str">
        <f t="array" ref="C54">IF(COUNTIF(D$48:D54,D54)=1,MAX(C$48:C53)+1,"")</f>
        <v/>
      </c>
      <c r="D54" s="198">
        <v>265</v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7">
        <f t="array" ref="C55">IF(COUNTIF(D$48:D55,D55)=1,MAX(C$48:C54)+1,"")</f>
        <v>3</v>
      </c>
      <c r="D55" s="198">
        <v>260</v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7" t="str">
        <f t="array" ref="C56">IF(COUNTIF(D$48:D56,D56)=1,MAX(C$48:C55)+1,"")</f>
        <v/>
      </c>
      <c r="D56" s="198">
        <v>265</v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7" t="str">
        <f t="array" ref="C57">IF(COUNTIF(D$48:D57,D57)=1,MAX(C$48:C56)+1,"")</f>
        <v/>
      </c>
      <c r="D57" s="198">
        <v>260</v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7" t="str">
        <f t="array" ref="C58">IF(COUNTIF(D$48:D58,D58)=1,MAX(C$48:C57)+1,"")</f>
        <v/>
      </c>
      <c r="D58" s="194">
        <v>265</v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7" t="str">
        <f t="array" ref="C59">IF(COUNTIF(D$48:D59,D59)=1,MAX(C$48:C58)+1,"")</f>
        <v/>
      </c>
      <c r="D59" s="194">
        <v>265</v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7" t="str">
        <f t="array" ref="C60">IF(COUNTIF(D$48:D60,D60)=1,MAX(C$48:C59)+1,"")</f>
        <v/>
      </c>
      <c r="D60" s="194">
        <f t="array" ref="D60">IFERROR(INDEX(Данные!$AE$4:$AE$1156,SMALL(IF(Данные!$AD$4:$AD$1156=$N$25,ROW(Данные!$AD$4:$AD$1156)-ROW(Данные!$AD$4)+1),ROW()-ROW($D$49)+1)),"")</f>
        <v>265</v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7">
        <f t="array" ref="C61">IF(COUNTIF(D$48:D61,D61)=1,MAX(C$48:C60)+1,"")</f>
        <v>4</v>
      </c>
      <c r="D61" s="194">
        <f t="array" ref="D61">IFERROR(INDEX(Данные!$AE$4:$AE$1156,SMALL(IF(Данные!$AD$4:$AD$1156=$N$25,ROW(Данные!$AD$4:$AD$1156)-ROW(Данные!$AD$4)+1),ROW()-ROW($D$49)+1)),"")</f>
        <v>262</v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7" t="str">
        <f t="array" ref="C62">IF(COUNTIF(D$48:D62,D62)=1,MAX(C$48:C61)+1,"")</f>
        <v/>
      </c>
      <c r="D62" s="194">
        <f t="array" ref="D62">IFERROR(INDEX(Данные!$AE$4:$AE$1156,SMALL(IF(Данные!$AD$4:$AD$1156=$N$25,ROW(Данные!$AD$4:$AD$1156)-ROW(Данные!$AD$4)+1),ROW()-ROW($D$49)+1)),"")</f>
        <v>265</v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7">
        <f t="array" ref="C63">IF(COUNTIF(D$48:D63,D63)=1,MAX(C$48:C62)+1,"")</f>
        <v>5</v>
      </c>
      <c r="D63" s="194">
        <f t="array" ref="D63">IFERROR(INDEX(Данные!$AE$4:$AE$1156,SMALL(IF(Данные!$AD$4:$AD$1156=$N$25,ROW(Данные!$AD$4:$AD$1156)-ROW(Данные!$AD$4)+1),ROW()-ROW($D$49)+1)),"")</f>
        <v>315</v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7" t="str">
        <f t="array" ref="C64">IF(COUNTIF(D$48:D64,D64)=1,MAX(C$48:C63)+1,"")</f>
        <v/>
      </c>
      <c r="D64" s="194">
        <f t="array" ref="D64">IFERROR(INDEX(Данные!$AE$4:$AE$1156,SMALL(IF(Данные!$AD$4:$AD$1156=$N$25,ROW(Данные!$AD$4:$AD$1156)-ROW(Данные!$AD$4)+1),ROW()-ROW($D$49)+1)),"")</f>
        <v>265</v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7" t="str">
        <f t="array" ref="C65">IF(COUNTIF(D$48:D65,D65)=1,MAX(C$48:C64)+1,"")</f>
        <v/>
      </c>
      <c r="D65" s="194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7" t="str">
        <f t="array" ref="C66">IF(COUNTIF(D$48:D66,D66)=1,MAX(C$48:C65)+1,"")</f>
        <v/>
      </c>
      <c r="D66" s="194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7" t="str">
        <f t="array" ref="C67">IF(COUNTIF(D$48:D67,D67)=1,MAX(C$48:C66)+1,"")</f>
        <v/>
      </c>
      <c r="D67" s="194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7" t="str">
        <f t="array" ref="C68">IF(COUNTIF(D$48:D68,D68)=1,MAX(C$48:C67)+1,"")</f>
        <v/>
      </c>
      <c r="D68" s="194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7" t="str">
        <f t="array" ref="C69">IF(COUNTIF(D$48:D69,D69)=1,MAX(C$48:C68)+1,"")</f>
        <v/>
      </c>
      <c r="D69" s="194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7" t="str">
        <f t="array" ref="C70">IF(COUNTIF(D$48:D70,D70)=1,MAX(C$48:C69)+1,"")</f>
        <v/>
      </c>
      <c r="D70" s="194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7" t="str">
        <f t="array" ref="C71">IF(COUNTIF(D$48:D71,D71)=1,MAX(C$48:C70)+1,"")</f>
        <v/>
      </c>
      <c r="D71" s="194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7" t="str">
        <f t="array" ref="C72">IF(COUNTIF(D$48:D72,D72)=1,MAX(C$48:C71)+1,"")</f>
        <v/>
      </c>
      <c r="D72" s="194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7" t="str">
        <f t="array" ref="C73">IF(COUNTIF(D$48:D73,D73)=1,MAX(C$48:C72)+1,"")</f>
        <v/>
      </c>
      <c r="D73" s="194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7" t="str">
        <f t="array" ref="C74">IF(COUNTIF(D$48:D74,D74)=1,MAX(C$48:C73)+1,"")</f>
        <v/>
      </c>
      <c r="D74" s="194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7" t="str">
        <f t="array" ref="C75">IF(COUNTIF(D$48:D75,D75)=1,MAX(C$48:C74)+1,"")</f>
        <v/>
      </c>
      <c r="D75" s="194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7" t="str">
        <f t="array" ref="C76">IF(COUNTIF(D$48:D76,D76)=1,MAX(C$48:C75)+1,"")</f>
        <v/>
      </c>
      <c r="D76" s="194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7" t="str">
        <f t="array" ref="C77">IF(COUNTIF(D$48:D77,D77)=1,MAX(C$48:C76)+1,"")</f>
        <v/>
      </c>
      <c r="D77" s="194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7" t="str">
        <f t="array" ref="C78">IF(COUNTIF(D$48:D78,D78)=1,MAX(C$48:C77)+1,"")</f>
        <v/>
      </c>
      <c r="D78" s="194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7" t="str">
        <f t="array" ref="C79">IF(COUNTIF(D$48:D79,D79)=1,MAX(C$48:C78)+1,"")</f>
        <v/>
      </c>
      <c r="D79" s="194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7" t="str">
        <f t="array" ref="C80">IF(COUNTIF(D$48:D80,D80)=1,MAX(C$48:C79)+1,"")</f>
        <v/>
      </c>
      <c r="D80" s="194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7" t="str">
        <f t="array" ref="C81">IF(COUNTIF(D$48:D81,D81)=1,MAX(C$48:C80)+1,"")</f>
        <v/>
      </c>
      <c r="D81" s="194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7" t="str">
        <f t="array" ref="C82">IF(COUNTIF(D$48:D82,D82)=1,MAX(C$48:C81)+1,"")</f>
        <v/>
      </c>
      <c r="D82" s="194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7" t="str">
        <f t="array" ref="C83">IF(COUNTIF(D$48:D83,D83)=1,MAX(C$48:C82)+1,"")</f>
        <v/>
      </c>
      <c r="D83" s="194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7" t="str">
        <f t="array" ref="C84">IF(COUNTIF(D$48:D84,D84)=1,MAX(C$48:C83)+1,"")</f>
        <v/>
      </c>
      <c r="D84" s="194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7" t="str">
        <f t="array" ref="C85">IF(COUNTIF(D$48:D85,D85)=1,MAX(C$48:C84)+1,"")</f>
        <v/>
      </c>
      <c r="D85" s="194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7" t="str">
        <f t="array" ref="C86">IF(COUNTIF(D$48:D86,D86)=1,MAX(C$48:C85)+1,"")</f>
        <v/>
      </c>
      <c r="D86" s="194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7" t="str">
        <f t="array" ref="C87">IF(COUNTIF(D$48:D87,D87)=1,MAX(C$48:C86)+1,"")</f>
        <v/>
      </c>
      <c r="D87" s="194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7" t="str">
        <f t="array" ref="C88">IF(COUNTIF(D$48:D88,D88)=1,MAX(C$48:C87)+1,"")</f>
        <v/>
      </c>
      <c r="D88" s="194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7" t="str">
        <f t="array" ref="C89">IF(COUNTIF(D$48:D89,D89)=1,MAX(C$48:C88)+1,"")</f>
        <v/>
      </c>
      <c r="D89" s="194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7" t="str">
        <f t="array" ref="C90">IF(COUNTIF(D$48:D90,D90)=1,MAX(C$48:C89)+1,"")</f>
        <v/>
      </c>
      <c r="D90" s="194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7" t="str">
        <f t="array" ref="C91">IF(COUNTIF(D$48:D91,D91)=1,MAX(C$48:C90)+1,"")</f>
        <v/>
      </c>
      <c r="D91" s="194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7" t="str">
        <f t="array" ref="C92">IF(COUNTIF(D$48:D92,D92)=1,MAX(C$48:C91)+1,"")</f>
        <v/>
      </c>
      <c r="D92" s="194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70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49"/>
      <c r="D94" s="1050"/>
      <c r="E94" s="111" t="s">
        <v>297</v>
      </c>
      <c r="F94" s="1550" t="s">
        <v>298</v>
      </c>
      <c r="G94" s="1551"/>
      <c r="H94" s="111" t="s">
        <v>298</v>
      </c>
      <c r="I94" s="111" t="s">
        <v>299</v>
      </c>
      <c r="J94" s="108" t="s">
        <v>300</v>
      </c>
      <c r="K94" s="1050"/>
      <c r="L94" s="1305"/>
      <c r="M94" s="1452" t="s">
        <v>408</v>
      </c>
      <c r="N94" s="1453"/>
    </row>
    <row r="95" spans="2:19" ht="15" thickBot="1" x14ac:dyDescent="0.35">
      <c r="B95" s="113"/>
      <c r="C95" s="1051" t="s">
        <v>301</v>
      </c>
      <c r="D95" s="1048"/>
      <c r="E95" s="115" t="s">
        <v>302</v>
      </c>
      <c r="F95" s="1552" t="s">
        <v>303</v>
      </c>
      <c r="G95" s="1553"/>
      <c r="H95" s="115" t="s">
        <v>304</v>
      </c>
      <c r="I95" s="115"/>
      <c r="J95" s="116" t="s">
        <v>305</v>
      </c>
      <c r="K95" s="1048"/>
      <c r="L95" s="1305"/>
      <c r="M95" s="1454" t="s">
        <v>411</v>
      </c>
      <c r="N95" s="1455" t="s">
        <v>796</v>
      </c>
    </row>
    <row r="96" spans="2:19" ht="15" thickBot="1" x14ac:dyDescent="0.35">
      <c r="B96" s="117"/>
      <c r="C96" s="118" t="s">
        <v>306</v>
      </c>
      <c r="D96" s="118"/>
      <c r="E96" s="111">
        <v>86</v>
      </c>
      <c r="F96" s="1534">
        <v>2</v>
      </c>
      <c r="G96" s="1535"/>
      <c r="H96" s="1071">
        <v>10</v>
      </c>
      <c r="I96" s="1072">
        <v>5</v>
      </c>
      <c r="J96" s="1532">
        <f ca="1">ROUND(M96/1000*F11,3)</f>
        <v>5.0999999999999997E-2</v>
      </c>
      <c r="K96" s="1533"/>
      <c r="L96" s="1347"/>
      <c r="M96" s="1363">
        <v>9.8000000000000007</v>
      </c>
      <c r="N96" s="1364">
        <v>10.5</v>
      </c>
    </row>
    <row r="97" spans="2:15" ht="15" thickBot="1" x14ac:dyDescent="0.35">
      <c r="B97" s="117"/>
      <c r="C97" s="118" t="s">
        <v>307</v>
      </c>
      <c r="D97" s="118"/>
      <c r="E97" s="1523">
        <v>86</v>
      </c>
      <c r="F97" s="1526">
        <v>2</v>
      </c>
      <c r="G97" s="1527"/>
      <c r="H97" s="1523">
        <v>20</v>
      </c>
      <c r="I97" s="1523">
        <v>3</v>
      </c>
      <c r="J97" s="1526">
        <f ca="1">ROUND(M97/1000*F11,3)</f>
        <v>3.4000000000000002E-2</v>
      </c>
      <c r="K97" s="1527"/>
      <c r="L97" s="1348"/>
      <c r="M97" s="1226">
        <v>6.5</v>
      </c>
      <c r="N97" s="1365">
        <v>7</v>
      </c>
      <c r="O97" s="140"/>
    </row>
    <row r="98" spans="2:15" ht="15" thickBot="1" x14ac:dyDescent="0.35">
      <c r="B98" s="117"/>
      <c r="C98" s="118" t="s">
        <v>308</v>
      </c>
      <c r="D98" s="118"/>
      <c r="E98" s="1524"/>
      <c r="F98" s="1528"/>
      <c r="G98" s="1529"/>
      <c r="H98" s="1524"/>
      <c r="I98" s="1524"/>
      <c r="J98" s="1528"/>
      <c r="K98" s="1529"/>
      <c r="L98" s="1348"/>
      <c r="M98" s="1069"/>
      <c r="N98" s="1366"/>
    </row>
    <row r="99" spans="2:15" ht="15" thickBot="1" x14ac:dyDescent="0.35">
      <c r="B99" s="117"/>
      <c r="C99" s="118" t="s">
        <v>309</v>
      </c>
      <c r="D99" s="118"/>
      <c r="E99" s="1525"/>
      <c r="F99" s="1530"/>
      <c r="G99" s="1531"/>
      <c r="H99" s="1525"/>
      <c r="I99" s="1525"/>
      <c r="J99" s="1530"/>
      <c r="K99" s="1531"/>
      <c r="L99" s="1348"/>
      <c r="M99" s="1069"/>
      <c r="N99" s="1366"/>
    </row>
    <row r="100" spans="2:15" ht="15" thickBot="1" x14ac:dyDescent="0.35">
      <c r="B100" s="117"/>
      <c r="C100" s="118" t="s">
        <v>310</v>
      </c>
      <c r="D100" s="118"/>
      <c r="E100" s="115">
        <v>39</v>
      </c>
      <c r="F100" s="1534">
        <v>2</v>
      </c>
      <c r="G100" s="1535"/>
      <c r="H100" s="1073">
        <v>20</v>
      </c>
      <c r="I100" s="1074">
        <v>4</v>
      </c>
      <c r="J100" s="1534">
        <f ca="1">ROUND(M100/1000*F11,3)</f>
        <v>2.1999999999999999E-2</v>
      </c>
      <c r="K100" s="1535"/>
      <c r="L100" s="1305"/>
      <c r="M100" s="1367">
        <v>4.2</v>
      </c>
      <c r="N100" s="1368">
        <v>4.5</v>
      </c>
    </row>
    <row r="102" spans="2:15" x14ac:dyDescent="0.3">
      <c r="C102" s="211" t="s">
        <v>416</v>
      </c>
      <c r="D102" s="146"/>
      <c r="E102" s="146"/>
      <c r="F102" s="146"/>
    </row>
    <row r="103" spans="2:15" x14ac:dyDescent="0.3">
      <c r="C103" s="212" t="s">
        <v>412</v>
      </c>
      <c r="D103" s="146"/>
      <c r="E103" s="146"/>
      <c r="F103" s="146"/>
    </row>
    <row r="110" spans="2:15" ht="15" thickBot="1" x14ac:dyDescent="0.35">
      <c r="K110" s="43" t="s">
        <v>407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1124</v>
      </c>
      <c r="L111" s="59"/>
    </row>
    <row r="112" spans="2:15" x14ac:dyDescent="0.3">
      <c r="B112" s="12"/>
      <c r="C112" s="71" t="s">
        <v>2</v>
      </c>
      <c r="D112" s="71"/>
      <c r="E112" s="71"/>
      <c r="F112" s="613" t="s">
        <v>1258</v>
      </c>
      <c r="G112" s="6"/>
      <c r="H112" s="71"/>
      <c r="I112" s="85"/>
      <c r="J112" s="85"/>
      <c r="K112" s="86"/>
      <c r="L112" s="341"/>
    </row>
    <row r="113" spans="2:12" x14ac:dyDescent="0.3">
      <c r="B113" s="4"/>
      <c r="C113" s="59" t="s">
        <v>4</v>
      </c>
      <c r="D113" s="59"/>
      <c r="E113" s="59"/>
      <c r="F113" s="630" t="s">
        <v>1265</v>
      </c>
      <c r="G113" s="143" t="s">
        <v>1186</v>
      </c>
      <c r="H113" s="60" t="s">
        <v>1263</v>
      </c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30" t="s">
        <v>1266</v>
      </c>
      <c r="G114" s="1084" t="s">
        <v>1186</v>
      </c>
      <c r="H114" s="60" t="s">
        <v>1266</v>
      </c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80">
        <v>8</v>
      </c>
      <c r="G115" s="171" t="s">
        <v>1186</v>
      </c>
      <c r="H115" s="17">
        <v>8</v>
      </c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1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60" t="s">
        <v>15</v>
      </c>
      <c r="G117" s="103"/>
      <c r="H117" s="71"/>
      <c r="I117" s="59"/>
      <c r="J117" s="59" t="s">
        <v>17</v>
      </c>
      <c r="K117" s="190">
        <f>F118/F120</f>
        <v>0.37070938215102972</v>
      </c>
      <c r="L117" s="183"/>
    </row>
    <row r="118" spans="2:12" x14ac:dyDescent="0.3">
      <c r="B118" s="4"/>
      <c r="C118" s="59" t="s">
        <v>19</v>
      </c>
      <c r="D118" s="59"/>
      <c r="E118" s="59"/>
      <c r="F118" s="621">
        <v>32.4</v>
      </c>
      <c r="G118" s="362" t="s">
        <v>1186</v>
      </c>
      <c r="H118" s="17">
        <v>34.1</v>
      </c>
      <c r="I118" s="59"/>
      <c r="J118" s="59" t="s">
        <v>23</v>
      </c>
      <c r="K118" s="15">
        <f>F118/F122</f>
        <v>0.35643564356435642</v>
      </c>
      <c r="L118" s="183"/>
    </row>
    <row r="119" spans="2:12" x14ac:dyDescent="0.3">
      <c r="B119" s="4"/>
      <c r="C119" s="59" t="s">
        <v>22</v>
      </c>
      <c r="D119" s="59"/>
      <c r="E119" s="59"/>
      <c r="F119" s="431">
        <v>1076</v>
      </c>
      <c r="G119" s="16"/>
      <c r="H119" s="17"/>
      <c r="I119" s="59"/>
      <c r="J119" s="59"/>
      <c r="K119" s="18"/>
      <c r="L119" s="524"/>
    </row>
    <row r="120" spans="2:12" x14ac:dyDescent="0.3">
      <c r="B120" s="4"/>
      <c r="C120" s="60" t="s">
        <v>317</v>
      </c>
      <c r="D120" s="59"/>
      <c r="E120" s="59"/>
      <c r="F120" s="431">
        <v>87.4</v>
      </c>
      <c r="G120" s="16" t="s">
        <v>1186</v>
      </c>
      <c r="H120" s="17">
        <v>92</v>
      </c>
      <c r="I120" s="59"/>
      <c r="J120" s="59"/>
      <c r="K120" s="18"/>
      <c r="L120" s="524"/>
    </row>
    <row r="121" spans="2:12" x14ac:dyDescent="0.3">
      <c r="B121" s="4"/>
      <c r="C121" s="59" t="s">
        <v>32</v>
      </c>
      <c r="D121" s="59"/>
      <c r="E121" s="59"/>
      <c r="F121" s="431">
        <v>1120</v>
      </c>
      <c r="G121" s="16"/>
      <c r="H121" s="17"/>
      <c r="I121" s="59"/>
      <c r="J121" s="59"/>
      <c r="K121" s="18"/>
      <c r="L121" s="524"/>
    </row>
    <row r="122" spans="2:12" x14ac:dyDescent="0.3">
      <c r="B122" s="4"/>
      <c r="C122" s="60" t="s">
        <v>318</v>
      </c>
      <c r="F122" s="431">
        <v>90.9</v>
      </c>
      <c r="G122" s="79" t="s">
        <v>1186</v>
      </c>
      <c r="H122" s="17">
        <v>95.7</v>
      </c>
      <c r="I122" s="59"/>
      <c r="J122" s="59"/>
      <c r="K122" s="18"/>
      <c r="L122" s="524"/>
    </row>
    <row r="123" spans="2:12" ht="16.2" thickBot="1" x14ac:dyDescent="0.35">
      <c r="B123" s="19"/>
      <c r="C123" s="59" t="s">
        <v>36</v>
      </c>
      <c r="D123" s="59"/>
      <c r="E123" s="59"/>
      <c r="F123" s="361">
        <v>6</v>
      </c>
      <c r="H123" s="1468" t="s">
        <v>1264</v>
      </c>
      <c r="I123" s="65"/>
      <c r="J123" s="65"/>
      <c r="K123" s="22"/>
      <c r="L123" s="524"/>
    </row>
    <row r="124" spans="2:12" x14ac:dyDescent="0.3">
      <c r="B124" s="12"/>
      <c r="C124" s="6" t="s">
        <v>221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1260</v>
      </c>
      <c r="D128" s="59"/>
      <c r="E128" s="59"/>
      <c r="F128" s="17"/>
      <c r="G128" s="17"/>
      <c r="H128" s="131" t="s">
        <v>1262</v>
      </c>
      <c r="I128" s="59"/>
      <c r="J128" s="59"/>
      <c r="K128" s="10"/>
      <c r="L128" s="59"/>
    </row>
    <row r="129" spans="2:12" x14ac:dyDescent="0.3">
      <c r="B129" s="4"/>
      <c r="C129" s="1233" t="s">
        <v>1261</v>
      </c>
      <c r="D129" s="59"/>
      <c r="E129" s="59"/>
      <c r="F129" s="17"/>
      <c r="G129" s="17"/>
      <c r="H129" s="1234" t="s">
        <v>1113</v>
      </c>
      <c r="I129" s="402"/>
      <c r="J129" s="59"/>
      <c r="K129" s="120"/>
      <c r="L129" s="1345"/>
    </row>
    <row r="130" spans="2:12" x14ac:dyDescent="0.3">
      <c r="B130" s="4"/>
      <c r="C130" s="1244"/>
      <c r="D130" s="59"/>
      <c r="E130" s="59"/>
      <c r="F130" s="17"/>
      <c r="G130" s="17"/>
      <c r="H130" s="1245"/>
      <c r="I130" s="59"/>
      <c r="J130" s="59"/>
      <c r="K130" s="18"/>
      <c r="L130" s="52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4"/>
    </row>
    <row r="133" spans="2:12" x14ac:dyDescent="0.3">
      <c r="B133" s="4"/>
      <c r="C133" s="59"/>
      <c r="D133" s="59"/>
      <c r="E133" s="119">
        <v>1083</v>
      </c>
      <c r="F133" s="59"/>
      <c r="G133" s="59"/>
      <c r="H133" s="59"/>
      <c r="I133" s="59"/>
      <c r="J133" s="59"/>
      <c r="K133" s="18"/>
      <c r="L133" s="524"/>
    </row>
    <row r="134" spans="2:12" x14ac:dyDescent="0.3">
      <c r="B134" s="4"/>
      <c r="C134" s="59"/>
      <c r="D134" s="59"/>
      <c r="E134" s="1234" t="s">
        <v>1259</v>
      </c>
      <c r="F134" s="1083"/>
      <c r="G134" s="23"/>
      <c r="H134" s="59"/>
      <c r="I134" s="59"/>
      <c r="J134" s="59"/>
      <c r="K134" s="18"/>
      <c r="L134" s="524"/>
    </row>
    <row r="135" spans="2:12" ht="15" thickBot="1" x14ac:dyDescent="0.35">
      <c r="B135" s="19"/>
      <c r="C135" s="65"/>
      <c r="D135" s="65"/>
      <c r="E135" s="129"/>
      <c r="F135" s="1083"/>
      <c r="G135" s="172"/>
      <c r="H135" s="65"/>
      <c r="I135" s="65"/>
      <c r="J135" s="65"/>
      <c r="K135" s="22"/>
      <c r="L135" s="524"/>
    </row>
    <row r="136" spans="2:12" ht="15" thickBot="1" x14ac:dyDescent="0.35">
      <c r="B136" s="1"/>
      <c r="C136" s="2"/>
      <c r="D136" s="2"/>
      <c r="E136" s="91" t="s">
        <v>280</v>
      </c>
      <c r="F136" s="71"/>
      <c r="G136" s="71"/>
      <c r="H136" s="2"/>
      <c r="I136" s="2"/>
      <c r="J136" s="2"/>
      <c r="K136" s="92"/>
      <c r="L136" s="524"/>
    </row>
    <row r="137" spans="2:12" ht="15" thickBot="1" x14ac:dyDescent="0.35">
      <c r="B137" s="93" t="s">
        <v>281</v>
      </c>
      <c r="C137" s="2"/>
      <c r="D137" s="2"/>
      <c r="E137" s="93" t="s">
        <v>204</v>
      </c>
      <c r="F137" s="390" t="s">
        <v>89</v>
      </c>
      <c r="G137" s="756"/>
      <c r="H137" s="96" t="s">
        <v>475</v>
      </c>
      <c r="I137" s="405"/>
      <c r="J137" s="406"/>
      <c r="K137" s="97" t="s">
        <v>282</v>
      </c>
      <c r="L137" s="1281"/>
    </row>
    <row r="138" spans="2:12" x14ac:dyDescent="0.3">
      <c r="B138" s="98" t="s">
        <v>833</v>
      </c>
      <c r="C138" s="59"/>
      <c r="D138" s="59"/>
      <c r="E138" s="123">
        <v>445</v>
      </c>
      <c r="F138" s="16">
        <v>1140</v>
      </c>
      <c r="G138" s="16"/>
      <c r="H138" s="753" t="str">
        <f>H29</f>
        <v>72.11870 - 25</v>
      </c>
      <c r="I138" s="166"/>
      <c r="J138" s="403"/>
      <c r="K138" s="100"/>
      <c r="L138" s="344"/>
    </row>
    <row r="139" spans="2:12" x14ac:dyDescent="0.3">
      <c r="B139" s="98" t="s">
        <v>284</v>
      </c>
      <c r="C139" s="59"/>
      <c r="D139" s="59"/>
      <c r="E139" s="99">
        <v>275</v>
      </c>
      <c r="F139" s="16"/>
      <c r="G139" s="16"/>
      <c r="H139" s="392" t="str">
        <f ca="1">H30</f>
        <v>72.11878 - 1</v>
      </c>
      <c r="I139" s="23"/>
      <c r="J139" s="404"/>
      <c r="K139" s="100"/>
      <c r="L139" s="344"/>
    </row>
    <row r="140" spans="2:12" x14ac:dyDescent="0.3">
      <c r="B140" s="98" t="s">
        <v>285</v>
      </c>
      <c r="C140" s="59"/>
      <c r="D140" s="59"/>
      <c r="E140" s="99">
        <f>E138</f>
        <v>445</v>
      </c>
      <c r="F140" s="16">
        <v>40</v>
      </c>
      <c r="G140" s="16"/>
      <c r="H140" s="354" t="str">
        <f>H31</f>
        <v>72.47213 - 170</v>
      </c>
      <c r="I140" s="23"/>
      <c r="J140" s="404"/>
      <c r="K140" s="100"/>
      <c r="L140" s="344"/>
    </row>
    <row r="141" spans="2:12" ht="15" thickBot="1" x14ac:dyDescent="0.35">
      <c r="B141" s="98" t="s">
        <v>286</v>
      </c>
      <c r="C141" s="59"/>
      <c r="D141" s="59"/>
      <c r="E141" s="101"/>
      <c r="F141" s="16">
        <v>0</v>
      </c>
      <c r="G141" s="16"/>
      <c r="H141" s="355"/>
      <c r="I141" s="172"/>
      <c r="J141" s="76"/>
      <c r="K141" s="100"/>
      <c r="L141" s="344"/>
    </row>
    <row r="142" spans="2:12" x14ac:dyDescent="0.3">
      <c r="B142" s="12"/>
      <c r="C142" s="6" t="s">
        <v>287</v>
      </c>
      <c r="D142" s="71"/>
      <c r="E142" s="71"/>
      <c r="F142" s="102">
        <v>1100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9"/>
      <c r="C143" s="1017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25010.00174</v>
      </c>
      <c r="D144" s="71"/>
      <c r="E144" s="71"/>
      <c r="F144" s="103"/>
      <c r="G144" s="103"/>
      <c r="H144" s="71"/>
      <c r="I144" s="71"/>
      <c r="J144" s="71"/>
      <c r="K144" s="104"/>
      <c r="L144" s="524"/>
    </row>
    <row r="145" spans="2:12" ht="15" thickBot="1" x14ac:dyDescent="0.35">
      <c r="B145" s="4"/>
      <c r="C145" s="11" t="s">
        <v>288</v>
      </c>
      <c r="D145" s="59"/>
      <c r="E145" s="59"/>
      <c r="F145" s="17"/>
      <c r="G145" s="17"/>
      <c r="H145" s="59"/>
      <c r="I145" s="59"/>
      <c r="J145" s="59"/>
      <c r="K145" s="18"/>
      <c r="L145" s="524"/>
    </row>
    <row r="146" spans="2:12" x14ac:dyDescent="0.3">
      <c r="B146" s="12"/>
      <c r="C146" s="6" t="s">
        <v>289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290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291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666</v>
      </c>
      <c r="D150" s="84"/>
      <c r="E150" s="94" t="s">
        <v>293</v>
      </c>
      <c r="F150" s="91" t="s">
        <v>294</v>
      </c>
      <c r="G150" s="91"/>
      <c r="H150" s="94" t="s">
        <v>295</v>
      </c>
      <c r="I150" s="96" t="s">
        <v>296</v>
      </c>
      <c r="J150" s="96"/>
      <c r="K150" s="94" t="s">
        <v>295</v>
      </c>
      <c r="L150" s="11"/>
    </row>
    <row r="151" spans="2:12" ht="15" thickBot="1" x14ac:dyDescent="0.35">
      <c r="B151" s="1"/>
      <c r="C151" s="1536">
        <f ca="1">TODAY()</f>
        <v>45420</v>
      </c>
      <c r="D151" s="1537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71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C42:D42"/>
    <mergeCell ref="I42:J42"/>
    <mergeCell ref="F28:G28"/>
    <mergeCell ref="F41:G41"/>
    <mergeCell ref="F42:G42"/>
    <mergeCell ref="M1:N1"/>
    <mergeCell ref="Q11:R11"/>
    <mergeCell ref="Q12:R12"/>
    <mergeCell ref="Q13:R13"/>
    <mergeCell ref="Q14:R14"/>
    <mergeCell ref="R3:V3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H97:H99"/>
    <mergeCell ref="I97:I99"/>
    <mergeCell ref="J97:K99"/>
    <mergeCell ref="J96:K96"/>
    <mergeCell ref="J100:K100"/>
    <mergeCell ref="Q30:R30"/>
    <mergeCell ref="F43:G43"/>
    <mergeCell ref="I43:J43"/>
    <mergeCell ref="I41:J41"/>
    <mergeCell ref="H28:J28"/>
    <mergeCell ref="H29:J29"/>
    <mergeCell ref="H30:J30"/>
    <mergeCell ref="H31:J31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0</xdr:rowOff>
                  </from>
                  <to>
                    <xdr:col>14</xdr:col>
                    <xdr:colOff>548640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21" sqref="O21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6.88671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1192</v>
      </c>
      <c r="AA1" s="44" t="s">
        <v>1192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1124</v>
      </c>
      <c r="L2" s="1096"/>
      <c r="M2" s="1181" t="s">
        <v>1116</v>
      </c>
      <c r="N2" s="937" t="s">
        <v>327</v>
      </c>
      <c r="O2" s="770" t="s">
        <v>328</v>
      </c>
      <c r="P2" s="1283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1124</v>
      </c>
      <c r="AB2" t="s">
        <v>1116</v>
      </c>
      <c r="AE2" s="1064"/>
      <c r="AF2" s="1560" t="s">
        <v>940</v>
      </c>
      <c r="AG2" s="1560"/>
      <c r="AH2" s="1560"/>
      <c r="AI2" s="1560"/>
      <c r="AJ2" s="1560"/>
      <c r="AK2" s="1065"/>
    </row>
    <row r="3" spans="2:37" ht="15.6" x14ac:dyDescent="0.3">
      <c r="B3" s="4"/>
      <c r="C3" s="71" t="s">
        <v>2</v>
      </c>
      <c r="D3" s="71"/>
      <c r="E3" s="71"/>
      <c r="F3" s="613" t="s">
        <v>1242</v>
      </c>
      <c r="G3" s="6"/>
      <c r="H3" s="1378"/>
      <c r="I3" s="85"/>
      <c r="J3" s="85"/>
      <c r="K3" s="86"/>
      <c r="L3" s="341"/>
      <c r="M3" s="766"/>
      <c r="N3" s="934"/>
      <c r="O3" s="939" t="s">
        <v>375</v>
      </c>
      <c r="P3" s="61">
        <v>319</v>
      </c>
      <c r="R3" s="4"/>
      <c r="S3" s="71" t="s">
        <v>2</v>
      </c>
      <c r="T3" s="71"/>
      <c r="U3" s="71"/>
      <c r="V3" s="613" t="s">
        <v>1193</v>
      </c>
      <c r="W3" s="6"/>
      <c r="X3" s="71"/>
      <c r="Y3" s="85"/>
      <c r="Z3" s="85"/>
      <c r="AA3" s="86"/>
      <c r="AB3" s="767" t="s">
        <v>1118</v>
      </c>
      <c r="AC3" s="58">
        <v>310</v>
      </c>
      <c r="AE3" s="1115" t="s">
        <v>1043</v>
      </c>
      <c r="AF3" s="1288">
        <v>1</v>
      </c>
      <c r="AG3" s="1288">
        <v>2</v>
      </c>
      <c r="AH3" s="1288">
        <v>3</v>
      </c>
      <c r="AI3" s="1289">
        <v>4</v>
      </c>
      <c r="AJ3" s="1063" t="s">
        <v>874</v>
      </c>
      <c r="AK3" s="1062"/>
    </row>
    <row r="4" spans="2:37" ht="16.2" thickBot="1" x14ac:dyDescent="0.35">
      <c r="B4" s="4"/>
      <c r="C4" s="59" t="s">
        <v>4</v>
      </c>
      <c r="D4" s="59"/>
      <c r="E4" s="59"/>
      <c r="F4" s="630" t="s">
        <v>1243</v>
      </c>
      <c r="G4" s="645" t="s">
        <v>1186</v>
      </c>
      <c r="H4" s="1379" t="s">
        <v>1194</v>
      </c>
      <c r="I4" s="59"/>
      <c r="J4" s="59"/>
      <c r="K4" s="10"/>
      <c r="L4" s="59"/>
      <c r="M4" s="767" t="s">
        <v>368</v>
      </c>
      <c r="N4" s="935">
        <v>310</v>
      </c>
      <c r="O4" s="939" t="s">
        <v>373</v>
      </c>
      <c r="P4" s="743">
        <v>230</v>
      </c>
      <c r="R4" s="4"/>
      <c r="S4" s="59" t="s">
        <v>4</v>
      </c>
      <c r="T4" s="59"/>
      <c r="U4" s="59"/>
      <c r="V4" s="630" t="s">
        <v>1194</v>
      </c>
      <c r="W4" s="1290"/>
      <c r="X4" s="774"/>
      <c r="Y4" s="59"/>
      <c r="Z4" s="59"/>
      <c r="AA4" s="10"/>
      <c r="AB4" s="767" t="s">
        <v>1119</v>
      </c>
      <c r="AC4" s="58">
        <v>200</v>
      </c>
      <c r="AE4" s="1060"/>
      <c r="AF4" s="59">
        <v>0</v>
      </c>
      <c r="AG4" s="59">
        <v>0</v>
      </c>
      <c r="AH4" s="59">
        <v>25.2</v>
      </c>
      <c r="AI4" s="10">
        <v>27.5</v>
      </c>
      <c r="AJ4" s="628">
        <f>SUM(AF4:AI4)</f>
        <v>52.7</v>
      </c>
      <c r="AK4" s="1062"/>
    </row>
    <row r="5" spans="2:37" ht="16.2" thickBot="1" x14ac:dyDescent="0.35">
      <c r="B5" s="4"/>
      <c r="C5" s="59" t="s">
        <v>6</v>
      </c>
      <c r="D5" s="59"/>
      <c r="E5" s="59"/>
      <c r="F5" s="630" t="s">
        <v>1244</v>
      </c>
      <c r="G5" s="645" t="s">
        <v>1245</v>
      </c>
      <c r="H5" s="1380" t="s">
        <v>1246</v>
      </c>
      <c r="I5" s="59"/>
      <c r="J5" s="59"/>
      <c r="K5" s="10"/>
      <c r="L5" s="59"/>
      <c r="M5" s="767" t="s">
        <v>369</v>
      </c>
      <c r="N5" s="935">
        <v>200</v>
      </c>
      <c r="O5" s="939" t="s">
        <v>374</v>
      </c>
      <c r="P5" s="61">
        <v>380</v>
      </c>
      <c r="R5" s="4"/>
      <c r="S5" s="59" t="s">
        <v>6</v>
      </c>
      <c r="T5" s="59"/>
      <c r="U5" s="59"/>
      <c r="V5" s="630" t="s">
        <v>7</v>
      </c>
      <c r="W5" s="1290"/>
      <c r="X5" s="1287"/>
      <c r="Y5" s="59"/>
      <c r="Z5" s="59"/>
      <c r="AA5" s="10"/>
      <c r="AB5" s="767" t="s">
        <v>367</v>
      </c>
      <c r="AC5" s="58">
        <v>160</v>
      </c>
      <c r="AE5" s="1060"/>
      <c r="AF5" s="1067">
        <f t="shared" ref="AF5:AG7" si="0">AF4/$AJ4*$AJ5</f>
        <v>0</v>
      </c>
      <c r="AG5" s="1067">
        <f t="shared" si="0"/>
        <v>0</v>
      </c>
      <c r="AH5" s="1067">
        <f>AH4/$AJ4*$AJ5</f>
        <v>71.822390891840598</v>
      </c>
      <c r="AI5" s="1116">
        <f>AI4/$AJ4*$AJ5</f>
        <v>78.37760910815939</v>
      </c>
      <c r="AJ5" s="1066">
        <v>150.19999999999999</v>
      </c>
      <c r="AK5" s="629" t="s">
        <v>1071</v>
      </c>
    </row>
    <row r="6" spans="2:37" ht="16.2" thickBot="1" x14ac:dyDescent="0.35">
      <c r="B6" s="4"/>
      <c r="C6" s="59" t="s">
        <v>10</v>
      </c>
      <c r="D6" s="59"/>
      <c r="E6" s="59"/>
      <c r="F6" s="780">
        <v>1</v>
      </c>
      <c r="G6" s="1194" t="s">
        <v>1245</v>
      </c>
      <c r="H6" s="1381">
        <v>2</v>
      </c>
      <c r="I6" s="59"/>
      <c r="J6" s="59"/>
      <c r="K6" s="10"/>
      <c r="L6" s="59"/>
      <c r="M6" s="767" t="s">
        <v>367</v>
      </c>
      <c r="N6" s="935">
        <v>160</v>
      </c>
      <c r="O6" s="946" t="s">
        <v>376</v>
      </c>
      <c r="P6" s="484">
        <v>65</v>
      </c>
      <c r="R6" s="4"/>
      <c r="S6" s="59" t="s">
        <v>10</v>
      </c>
      <c r="T6" s="59"/>
      <c r="U6" s="59"/>
      <c r="V6" s="780">
        <v>2</v>
      </c>
      <c r="W6" s="1291"/>
      <c r="X6" s="17"/>
      <c r="Y6" s="59"/>
      <c r="Z6" s="59"/>
      <c r="AA6" s="10"/>
      <c r="AB6" s="767" t="s">
        <v>370</v>
      </c>
      <c r="AC6" s="58">
        <v>20</v>
      </c>
      <c r="AE6" s="1060"/>
      <c r="AF6" s="1067">
        <f t="shared" si="0"/>
        <v>0</v>
      </c>
      <c r="AG6" s="1067">
        <f t="shared" si="0"/>
        <v>0</v>
      </c>
      <c r="AH6" s="1067">
        <f t="shared" ref="AH6:AH7" si="1">AH5/$AJ5*$AJ6</f>
        <v>71.822390891840598</v>
      </c>
      <c r="AI6" s="1116">
        <f t="shared" ref="AI6:AI7" si="2">AI5/$AJ5*$AJ6</f>
        <v>78.37760910815939</v>
      </c>
      <c r="AJ6" s="1066">
        <v>150.19999999999999</v>
      </c>
      <c r="AK6" s="629" t="s">
        <v>1070</v>
      </c>
    </row>
    <row r="7" spans="2:37" ht="16.2" thickBot="1" x14ac:dyDescent="0.35">
      <c r="B7" s="19"/>
      <c r="C7" s="65"/>
      <c r="D7" s="65"/>
      <c r="E7" s="65"/>
      <c r="F7" s="361"/>
      <c r="G7" s="659"/>
      <c r="H7" s="65"/>
      <c r="I7" s="65"/>
      <c r="J7" s="65"/>
      <c r="K7" s="40"/>
      <c r="L7" s="59"/>
      <c r="M7" s="767" t="s">
        <v>370</v>
      </c>
      <c r="N7" s="935">
        <v>20</v>
      </c>
      <c r="O7" s="939" t="s">
        <v>378</v>
      </c>
      <c r="P7" s="61">
        <v>285</v>
      </c>
      <c r="Q7" s="10"/>
      <c r="R7" s="19"/>
      <c r="S7" s="65"/>
      <c r="T7" s="65"/>
      <c r="U7" s="65"/>
      <c r="V7" s="361"/>
      <c r="W7" s="1292"/>
      <c r="X7" s="65"/>
      <c r="Y7" s="65"/>
      <c r="Z7" s="65"/>
      <c r="AA7" s="40"/>
      <c r="AB7" s="767" t="s">
        <v>371</v>
      </c>
      <c r="AC7" s="58">
        <v>250</v>
      </c>
      <c r="AE7" s="1061"/>
      <c r="AF7" s="1068">
        <f t="shared" si="0"/>
        <v>0</v>
      </c>
      <c r="AG7" s="1068">
        <f t="shared" si="0"/>
        <v>0</v>
      </c>
      <c r="AH7" s="1068">
        <f t="shared" si="1"/>
        <v>74.691461100569256</v>
      </c>
      <c r="AI7" s="1117">
        <f t="shared" si="2"/>
        <v>81.508538899430732</v>
      </c>
      <c r="AJ7" s="1066">
        <v>156.19999999999999</v>
      </c>
      <c r="AK7" s="629" t="s">
        <v>1040</v>
      </c>
    </row>
    <row r="8" spans="2:37" ht="16.2" thickBot="1" x14ac:dyDescent="0.35">
      <c r="B8" s="4"/>
      <c r="C8" s="59" t="s">
        <v>16</v>
      </c>
      <c r="D8" s="59"/>
      <c r="E8" s="59"/>
      <c r="F8" s="173" t="s">
        <v>9</v>
      </c>
      <c r="G8" s="657"/>
      <c r="H8" s="59"/>
      <c r="I8" s="59"/>
      <c r="J8" s="173" t="s">
        <v>17</v>
      </c>
      <c r="K8" s="15">
        <f>F9/F10</f>
        <v>0.36546610169491522</v>
      </c>
      <c r="L8" s="183"/>
      <c r="M8" s="767" t="s">
        <v>371</v>
      </c>
      <c r="N8" s="935">
        <v>250</v>
      </c>
      <c r="O8" s="944" t="s">
        <v>330</v>
      </c>
      <c r="P8" s="945">
        <f>(P5-P6)/60+P4</f>
        <v>235.25</v>
      </c>
      <c r="Q8" s="10"/>
      <c r="R8" s="4"/>
      <c r="S8" s="59" t="s">
        <v>16</v>
      </c>
      <c r="T8" s="59"/>
      <c r="U8" s="59"/>
      <c r="V8" s="173" t="s">
        <v>9</v>
      </c>
      <c r="W8" s="1293"/>
      <c r="X8" s="17"/>
      <c r="Y8" s="59"/>
      <c r="Z8" s="59" t="s">
        <v>17</v>
      </c>
      <c r="AA8" s="15">
        <f>V9/V11</f>
        <v>0.35097493036211702</v>
      </c>
      <c r="AB8" s="939" t="s">
        <v>1120</v>
      </c>
      <c r="AC8" s="1182">
        <v>285</v>
      </c>
    </row>
    <row r="9" spans="2:37" ht="16.2" thickBot="1" x14ac:dyDescent="0.35">
      <c r="B9" s="4"/>
      <c r="C9" s="59" t="s">
        <v>19</v>
      </c>
      <c r="D9" s="59"/>
      <c r="E9" s="59"/>
      <c r="F9" s="431">
        <f>IF(N11=0,ROUNDUP(N10,1),N11)</f>
        <v>34.5</v>
      </c>
      <c r="G9" s="1382"/>
      <c r="H9" s="59"/>
      <c r="I9" s="59"/>
      <c r="J9" s="173" t="s">
        <v>23</v>
      </c>
      <c r="K9" s="15">
        <f>F9/F12</f>
        <v>0.35132382892057029</v>
      </c>
      <c r="L9" s="183"/>
      <c r="M9" s="768" t="s">
        <v>12</v>
      </c>
      <c r="N9" s="934">
        <f>VLOOKUP(F8,Данные!A3:I27,9,FALSE())</f>
        <v>9.1</v>
      </c>
      <c r="O9" s="947" t="s">
        <v>331</v>
      </c>
      <c r="P9" s="1374">
        <v>140</v>
      </c>
      <c r="R9" s="4"/>
      <c r="S9" s="59" t="s">
        <v>19</v>
      </c>
      <c r="T9" s="59"/>
      <c r="U9" s="59"/>
      <c r="V9" s="431">
        <v>25.2</v>
      </c>
      <c r="W9" s="1294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4"/>
      <c r="M10" s="768" t="s">
        <v>372</v>
      </c>
      <c r="N10" s="936">
        <f>((N5*N5-N6*N6)*3.1415926*N8*N9+(N4*N4-N5*N5)*N7*N9*3.14)/4000000</f>
        <v>33.744650393999997</v>
      </c>
      <c r="P10" s="1373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295"/>
      <c r="X10" s="17"/>
      <c r="Y10" s="59"/>
      <c r="Z10" s="59"/>
      <c r="AA10" s="18"/>
    </row>
    <row r="11" spans="2:37" ht="15" thickBot="1" x14ac:dyDescent="0.35">
      <c r="B11" s="4"/>
      <c r="C11" s="59" t="s">
        <v>317</v>
      </c>
      <c r="D11" s="59"/>
      <c r="E11" s="59"/>
      <c r="F11" s="438">
        <f>ROUND(F10/F14,1)</f>
        <v>94.4</v>
      </c>
      <c r="G11" s="438"/>
      <c r="H11" s="59"/>
      <c r="I11" s="59"/>
      <c r="J11" s="59"/>
      <c r="K11" s="18"/>
      <c r="L11" s="524"/>
      <c r="M11" s="769" t="s">
        <v>311</v>
      </c>
      <c r="N11" s="938">
        <v>34.5</v>
      </c>
      <c r="O11" s="941" t="s">
        <v>377</v>
      </c>
      <c r="P11" s="942">
        <v>65</v>
      </c>
      <c r="Q11" s="59"/>
      <c r="R11" s="4"/>
      <c r="S11" s="59" t="s">
        <v>317</v>
      </c>
      <c r="T11" s="59"/>
      <c r="U11" s="59"/>
      <c r="V11" s="438">
        <v>71.8</v>
      </c>
      <c r="W11" s="1296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3"/>
      <c r="L12" s="17"/>
      <c r="O12" s="943" t="s">
        <v>22</v>
      </c>
      <c r="P12" s="1180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295"/>
      <c r="X12" s="17"/>
      <c r="Y12" s="59"/>
      <c r="Z12" s="59"/>
      <c r="AA12" s="353"/>
    </row>
    <row r="13" spans="2:37" ht="16.2" thickBot="1" x14ac:dyDescent="0.35">
      <c r="B13" s="4"/>
      <c r="C13" s="59" t="s">
        <v>318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4"/>
      <c r="O13" s="940" t="s">
        <v>325</v>
      </c>
      <c r="P13" s="765"/>
      <c r="Q13" s="59"/>
      <c r="R13" s="4"/>
      <c r="S13" s="59" t="s">
        <v>318</v>
      </c>
      <c r="T13" s="59"/>
      <c r="U13" s="59"/>
      <c r="V13" s="44">
        <v>74.7</v>
      </c>
      <c r="W13" s="1297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3">
        <v>1</v>
      </c>
      <c r="G14" s="17"/>
      <c r="H14" s="59"/>
      <c r="I14" s="65"/>
      <c r="J14" s="65"/>
      <c r="K14" s="22"/>
      <c r="L14" s="524"/>
      <c r="M14" s="43" t="s">
        <v>1187</v>
      </c>
      <c r="N14" s="1277"/>
      <c r="O14" s="184"/>
      <c r="P14" s="185"/>
      <c r="Q14" s="59"/>
      <c r="R14" s="19"/>
      <c r="S14" s="59" t="s">
        <v>36</v>
      </c>
      <c r="T14" s="59"/>
      <c r="U14" s="59"/>
      <c r="V14" s="173">
        <v>2</v>
      </c>
      <c r="W14" s="1298"/>
      <c r="X14" s="17"/>
      <c r="Y14" s="65"/>
      <c r="Z14" s="65"/>
      <c r="AA14" s="22"/>
    </row>
    <row r="15" spans="2:37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1371" t="s">
        <v>1212</v>
      </c>
      <c r="N15" s="1372"/>
      <c r="O15" s="43"/>
      <c r="Q15" s="59"/>
      <c r="R15" s="12"/>
      <c r="S15" s="6" t="s">
        <v>221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4"/>
      <c r="M16" s="1280" t="s">
        <v>1059</v>
      </c>
      <c r="N16" s="1046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4"/>
      <c r="M17" s="1045" t="s">
        <v>1060</v>
      </c>
      <c r="N17" s="884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3"/>
      <c r="F18" s="17"/>
      <c r="G18" s="17"/>
      <c r="H18" s="59"/>
      <c r="I18" s="59"/>
      <c r="J18" s="59"/>
      <c r="K18" s="18"/>
      <c r="L18" s="524"/>
      <c r="M18" s="1015" t="s">
        <v>1058</v>
      </c>
      <c r="N18" s="884">
        <v>188</v>
      </c>
      <c r="R18" s="4"/>
      <c r="S18" s="59"/>
      <c r="T18" s="59"/>
      <c r="U18" s="173"/>
      <c r="V18" s="17"/>
      <c r="W18" s="17"/>
      <c r="X18" s="59"/>
      <c r="Y18" s="59"/>
      <c r="Z18" s="59"/>
      <c r="AA18" s="18"/>
      <c r="AC18" s="1134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4"/>
      <c r="M19" s="1015" t="s">
        <v>261</v>
      </c>
      <c r="N19" s="884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4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15" t="s">
        <v>262</v>
      </c>
      <c r="N20" s="884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4"/>
    </row>
    <row r="21" spans="2:29" ht="16.2" thickBot="1" x14ac:dyDescent="0.35">
      <c r="B21" s="87"/>
      <c r="C21" s="121" t="str">
        <f>"Ø "&amp;ROUNDUP(E31*0.99,0)</f>
        <v>Ø 316</v>
      </c>
      <c r="D21" s="89" t="s">
        <v>279</v>
      </c>
      <c r="E21" s="356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79" t="s">
        <v>12</v>
      </c>
      <c r="N21" s="1278">
        <v>9.1</v>
      </c>
      <c r="O21" s="43"/>
      <c r="R21" s="87"/>
      <c r="S21" s="121" t="str">
        <f>"Ø "&amp;ROUNDUP(U31*0.99,0)</f>
        <v>Ø 355</v>
      </c>
      <c r="T21" s="89" t="s">
        <v>279</v>
      </c>
      <c r="U21" s="356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4"/>
    </row>
    <row r="22" spans="2:29" ht="16.2" thickBot="1" x14ac:dyDescent="0.35">
      <c r="B22" s="4"/>
      <c r="C22" s="130" t="str">
        <f>"( "&amp;N4&amp;" )"</f>
        <v>( 310 )</v>
      </c>
      <c r="D22" s="59"/>
      <c r="E22" s="174" t="str">
        <f>"( "&amp;N6&amp;" )"</f>
        <v>( 160 )</v>
      </c>
      <c r="F22" s="17"/>
      <c r="G22" s="17"/>
      <c r="H22" s="59"/>
      <c r="I22" s="59"/>
      <c r="J22" s="175" t="str">
        <f>"( "&amp;N5&amp;" )"</f>
        <v>( 200 )</v>
      </c>
      <c r="K22" s="10"/>
      <c r="L22" s="59"/>
      <c r="M22" s="1282"/>
      <c r="N22" s="887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4" t="str">
        <f>"( "&amp;AC5&amp;" )"</f>
        <v>( 160 )</v>
      </c>
      <c r="V22" s="17"/>
      <c r="W22" s="17"/>
      <c r="X22" s="59"/>
      <c r="Y22" s="59"/>
      <c r="Z22" s="175" t="str">
        <f>"( "&amp;AC4&amp;" )"</f>
        <v>( 200 )</v>
      </c>
      <c r="AA22" s="10"/>
      <c r="AC22" s="184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886" t="s">
        <v>19</v>
      </c>
      <c r="N23" s="1275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4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6" t="str">
        <f>"( "&amp;N8&amp;" )"</f>
        <v>( 250 )</v>
      </c>
      <c r="G27" s="176"/>
      <c r="H27" s="65"/>
      <c r="I27" s="65"/>
      <c r="J27" s="65"/>
      <c r="K27" s="1249"/>
      <c r="L27" s="524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6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280</v>
      </c>
      <c r="F28" s="2"/>
      <c r="G28" s="71"/>
      <c r="H28" s="71"/>
      <c r="I28" s="71"/>
      <c r="J28" s="71"/>
      <c r="K28" s="209"/>
      <c r="L28" s="524"/>
      <c r="M28" s="25"/>
      <c r="N28" s="43"/>
      <c r="O28" s="43"/>
      <c r="R28" s="1"/>
      <c r="S28" s="2"/>
      <c r="T28" s="2"/>
      <c r="U28" s="91" t="s">
        <v>280</v>
      </c>
      <c r="V28" s="2"/>
      <c r="W28" s="71"/>
      <c r="X28" s="71"/>
      <c r="Y28" s="71"/>
      <c r="Z28" s="71"/>
      <c r="AA28" s="352"/>
    </row>
    <row r="29" spans="2:29" ht="15" thickBot="1" x14ac:dyDescent="0.35">
      <c r="B29" s="93" t="s">
        <v>281</v>
      </c>
      <c r="C29" s="2"/>
      <c r="D29" s="2"/>
      <c r="E29" s="94" t="s">
        <v>204</v>
      </c>
      <c r="F29" s="1566" t="s">
        <v>89</v>
      </c>
      <c r="G29" s="1567"/>
      <c r="H29" s="93" t="s">
        <v>475</v>
      </c>
      <c r="I29" s="2"/>
      <c r="J29" s="391"/>
      <c r="K29" s="97" t="s">
        <v>282</v>
      </c>
      <c r="L29" s="1281"/>
      <c r="M29" s="25"/>
      <c r="N29" s="43"/>
      <c r="O29" s="43"/>
      <c r="R29" s="93" t="s">
        <v>281</v>
      </c>
      <c r="S29" s="2"/>
      <c r="T29" s="2"/>
      <c r="U29" s="94" t="s">
        <v>204</v>
      </c>
      <c r="V29" s="390" t="s">
        <v>89</v>
      </c>
      <c r="W29" s="390"/>
      <c r="X29" s="93" t="s">
        <v>475</v>
      </c>
      <c r="Y29" s="2"/>
      <c r="Z29" s="391"/>
      <c r="AA29" s="97" t="s">
        <v>282</v>
      </c>
    </row>
    <row r="30" spans="2:29" x14ac:dyDescent="0.3">
      <c r="B30" s="98" t="s">
        <v>432</v>
      </c>
      <c r="C30" s="59"/>
      <c r="D30" s="59"/>
      <c r="E30" s="354">
        <f>P4</f>
        <v>230</v>
      </c>
      <c r="F30" s="771">
        <f>P5</f>
        <v>380</v>
      </c>
      <c r="G30" s="772"/>
      <c r="H30" s="1568">
        <v>10255800</v>
      </c>
      <c r="I30" s="1569"/>
      <c r="J30" s="1570"/>
      <c r="K30" s="18"/>
      <c r="L30" s="524"/>
      <c r="M30" s="25"/>
      <c r="N30" s="43"/>
      <c r="O30" s="43"/>
      <c r="R30" s="98" t="s">
        <v>432</v>
      </c>
      <c r="S30" s="59"/>
      <c r="T30" s="59"/>
      <c r="U30" s="99">
        <v>210</v>
      </c>
      <c r="V30" s="354">
        <v>320</v>
      </c>
      <c r="W30" s="354"/>
      <c r="X30" s="392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4">
        <f>P3</f>
        <v>319</v>
      </c>
      <c r="F31" s="354">
        <f>P6</f>
        <v>65</v>
      </c>
      <c r="G31" s="122"/>
      <c r="H31" s="59"/>
      <c r="I31" s="59"/>
      <c r="J31" s="10"/>
      <c r="K31" s="18"/>
      <c r="L31" s="524"/>
      <c r="M31" s="25"/>
      <c r="N31" s="43"/>
      <c r="O31" s="43"/>
      <c r="R31" s="4"/>
      <c r="S31" s="59"/>
      <c r="T31" s="59"/>
      <c r="U31" s="99">
        <v>358</v>
      </c>
      <c r="V31" s="354">
        <v>38</v>
      </c>
      <c r="W31" s="354"/>
      <c r="X31" s="4"/>
      <c r="Y31" s="59"/>
      <c r="Z31" s="10"/>
      <c r="AA31" s="18"/>
    </row>
    <row r="32" spans="2:29" x14ac:dyDescent="0.3">
      <c r="B32" s="98" t="s">
        <v>284</v>
      </c>
      <c r="C32" s="59"/>
      <c r="D32" s="59"/>
      <c r="E32" s="354">
        <f>P9</f>
        <v>140</v>
      </c>
      <c r="F32" s="354"/>
      <c r="G32" s="122"/>
      <c r="H32" s="59" t="str">
        <f ca="1">VLOOKUP(Данные!AP27,Данные!AO4:AP23,2)&amp;" - "&amp;RANDBETWEEN(1,15)</f>
        <v>72.11879 - 7</v>
      </c>
      <c r="I32" s="59"/>
      <c r="J32" s="10"/>
      <c r="K32" s="18"/>
      <c r="L32" s="524"/>
      <c r="M32" s="25"/>
      <c r="N32" s="43"/>
      <c r="O32" s="43"/>
      <c r="R32" s="98" t="s">
        <v>284</v>
      </c>
      <c r="S32" s="59"/>
      <c r="T32" s="59"/>
      <c r="U32" s="99">
        <v>150</v>
      </c>
      <c r="V32" s="354"/>
      <c r="W32" s="354"/>
      <c r="X32" s="4" t="str">
        <f ca="1">H32</f>
        <v>72.11879 - 7</v>
      </c>
      <c r="Y32" s="59"/>
      <c r="Z32" s="10"/>
      <c r="AA32" s="18"/>
    </row>
    <row r="33" spans="2:27" x14ac:dyDescent="0.3">
      <c r="B33" s="98" t="s">
        <v>285</v>
      </c>
      <c r="C33" s="59"/>
      <c r="D33" s="59"/>
      <c r="E33" s="354">
        <f>E30</f>
        <v>230</v>
      </c>
      <c r="F33" s="354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4"/>
      <c r="M33" s="25"/>
      <c r="N33" s="43"/>
      <c r="O33" s="43"/>
      <c r="R33" s="98" t="s">
        <v>285</v>
      </c>
      <c r="S33" s="59"/>
      <c r="T33" s="59"/>
      <c r="U33" s="99">
        <f>U30</f>
        <v>210</v>
      </c>
      <c r="V33" s="354">
        <v>30</v>
      </c>
      <c r="W33" s="354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286</v>
      </c>
      <c r="C34" s="59"/>
      <c r="D34" s="59"/>
      <c r="E34" s="354"/>
      <c r="F34" s="354">
        <f>F30-F36-F33</f>
        <v>50</v>
      </c>
      <c r="G34" s="122"/>
      <c r="H34" s="59"/>
      <c r="I34" s="59"/>
      <c r="J34" s="10"/>
      <c r="K34" s="18"/>
      <c r="L34" s="524"/>
      <c r="M34" s="25"/>
      <c r="N34" s="43"/>
      <c r="O34" s="43"/>
      <c r="R34" s="98" t="s">
        <v>286</v>
      </c>
      <c r="S34" s="59"/>
      <c r="T34" s="59"/>
      <c r="U34" s="99"/>
      <c r="V34" s="354">
        <f>V30-V36-V33</f>
        <v>0</v>
      </c>
      <c r="W34" s="354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5"/>
      <c r="F35" s="355"/>
      <c r="G35" s="773"/>
      <c r="H35" s="65"/>
      <c r="I35" s="65"/>
      <c r="J35" s="40"/>
      <c r="K35" s="18"/>
      <c r="L35" s="524"/>
      <c r="M35" s="25"/>
      <c r="N35" s="43"/>
      <c r="O35" s="43"/>
      <c r="R35" s="4"/>
      <c r="S35" s="59"/>
      <c r="T35" s="59"/>
      <c r="U35" s="101"/>
      <c r="V35" s="355"/>
      <c r="W35" s="355"/>
      <c r="X35" s="19"/>
      <c r="Y35" s="65"/>
      <c r="Z35" s="40"/>
      <c r="AA35" s="18"/>
    </row>
    <row r="36" spans="2:27" x14ac:dyDescent="0.3">
      <c r="B36" s="12"/>
      <c r="C36" s="6" t="s">
        <v>287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287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288</v>
      </c>
      <c r="D39" s="59"/>
      <c r="E39" s="59"/>
      <c r="F39" s="17"/>
      <c r="G39" s="17"/>
      <c r="H39" s="59"/>
      <c r="I39" s="59"/>
      <c r="J39" s="59"/>
      <c r="K39" s="18"/>
      <c r="L39" s="524"/>
      <c r="M39" s="59"/>
      <c r="N39" s="43"/>
      <c r="O39" s="43"/>
      <c r="R39" s="4"/>
      <c r="S39" s="11" t="s">
        <v>288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289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289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290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290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291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291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292</v>
      </c>
      <c r="D44" s="84"/>
      <c r="E44" s="94" t="s">
        <v>293</v>
      </c>
      <c r="F44" s="91" t="s">
        <v>294</v>
      </c>
      <c r="G44" s="91"/>
      <c r="H44" s="94" t="s">
        <v>295</v>
      </c>
      <c r="I44" s="96" t="s">
        <v>296</v>
      </c>
      <c r="J44" s="96"/>
      <c r="K44" s="94" t="s">
        <v>295</v>
      </c>
      <c r="L44" s="11"/>
      <c r="M44" s="59"/>
      <c r="N44" s="43"/>
      <c r="O44" s="43"/>
      <c r="R44" s="1"/>
      <c r="S44" s="91" t="s">
        <v>292</v>
      </c>
      <c r="T44" s="84"/>
      <c r="U44" s="94" t="s">
        <v>293</v>
      </c>
      <c r="V44" s="91" t="s">
        <v>294</v>
      </c>
      <c r="W44" s="91"/>
      <c r="X44" s="94" t="s">
        <v>295</v>
      </c>
      <c r="Y44" s="96" t="s">
        <v>296</v>
      </c>
      <c r="Z44" s="96"/>
      <c r="AA44" s="94" t="s">
        <v>295</v>
      </c>
    </row>
    <row r="45" spans="2:27" ht="15" thickBot="1" x14ac:dyDescent="0.35">
      <c r="B45" s="1563">
        <f ca="1">TODAY()</f>
        <v>45420</v>
      </c>
      <c r="C45" s="1564"/>
      <c r="D45" s="1565"/>
      <c r="E45" s="95" t="s">
        <v>265</v>
      </c>
      <c r="F45" s="91" t="s">
        <v>266</v>
      </c>
      <c r="G45" s="91"/>
      <c r="H45" s="107"/>
      <c r="I45" s="2"/>
      <c r="J45" s="2"/>
      <c r="K45" s="107"/>
      <c r="L45" s="59"/>
      <c r="M45" s="59"/>
      <c r="N45" s="43"/>
      <c r="O45" s="43"/>
      <c r="R45" s="1563">
        <f ca="1">TODAY()</f>
        <v>45420</v>
      </c>
      <c r="S45" s="1564"/>
      <c r="T45" s="1565"/>
      <c r="U45" s="95" t="s">
        <v>265</v>
      </c>
      <c r="V45" s="91" t="s">
        <v>266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71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71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5">
    <mergeCell ref="B45:D45"/>
    <mergeCell ref="R45:T45"/>
    <mergeCell ref="F29:G29"/>
    <mergeCell ref="H30:J30"/>
    <mergeCell ref="AF2:AJ2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77"/>
  <sheetViews>
    <sheetView topLeftCell="A2" zoomScale="70" zoomScaleNormal="70" workbookViewId="0">
      <selection activeCell="I29" sqref="I29"/>
    </sheetView>
  </sheetViews>
  <sheetFormatPr defaultColWidth="8.5546875" defaultRowHeight="14.4" x14ac:dyDescent="0.3"/>
  <cols>
    <col min="1" max="1" width="2.109375" customWidth="1"/>
    <col min="2" max="2" width="6.8867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7.55468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1203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1124</v>
      </c>
      <c r="L3" s="179" t="s">
        <v>72</v>
      </c>
      <c r="M3" s="179" t="s">
        <v>73</v>
      </c>
      <c r="N3" s="180" t="s">
        <v>325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1124</v>
      </c>
    </row>
    <row r="4" spans="2:25" ht="15.6" x14ac:dyDescent="0.3">
      <c r="B4" s="12" t="s">
        <v>2</v>
      </c>
      <c r="C4" s="59"/>
      <c r="D4" s="5"/>
      <c r="E4" s="5"/>
      <c r="F4" s="45" t="s">
        <v>1247</v>
      </c>
      <c r="G4" s="5"/>
      <c r="H4" s="59"/>
      <c r="I4" s="7" t="s">
        <v>74</v>
      </c>
      <c r="J4" s="135">
        <v>78</v>
      </c>
      <c r="L4" s="42" t="s">
        <v>75</v>
      </c>
      <c r="M4" s="177">
        <f>VLOOKUP(J4,Данные!L3:U131,8,FALSE())</f>
        <v>27</v>
      </c>
      <c r="N4" s="58">
        <v>27</v>
      </c>
      <c r="Q4" s="12" t="s">
        <v>2</v>
      </c>
      <c r="R4" s="59"/>
      <c r="S4" s="5"/>
      <c r="T4" s="5"/>
      <c r="U4" s="45" t="s">
        <v>1064</v>
      </c>
      <c r="V4" s="5"/>
      <c r="W4" s="59"/>
      <c r="X4" s="7" t="s">
        <v>74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4" t="s">
        <v>1249</v>
      </c>
      <c r="G5" s="813"/>
      <c r="H5" s="55"/>
      <c r="I5" s="55" t="str">
        <f>"("&amp;M4&amp;"x"&amp;M6&amp;"x"&amp;M8&amp;")"</f>
        <v>(27x240x640)</v>
      </c>
      <c r="J5" s="10"/>
      <c r="L5" s="47" t="s">
        <v>76</v>
      </c>
      <c r="M5" s="177">
        <f>VLOOKUP(J4,Данные!L3:U131,9,FALSE())</f>
        <v>35</v>
      </c>
      <c r="N5" s="58">
        <v>35</v>
      </c>
      <c r="Q5" s="4" t="s">
        <v>4</v>
      </c>
      <c r="R5" s="59"/>
      <c r="S5" s="55"/>
      <c r="T5" s="55"/>
      <c r="U5" s="814" t="s">
        <v>1065</v>
      </c>
      <c r="V5" s="813"/>
      <c r="W5" s="55"/>
      <c r="X5" s="55" t="str">
        <f>I5</f>
        <v>(27x240x640)</v>
      </c>
      <c r="Y5" s="10"/>
    </row>
    <row r="6" spans="2:25" ht="15.6" x14ac:dyDescent="0.3">
      <c r="B6" s="4" t="s">
        <v>6</v>
      </c>
      <c r="C6" s="59"/>
      <c r="D6" s="55"/>
      <c r="E6" s="55"/>
      <c r="F6" s="813" t="s">
        <v>1250</v>
      </c>
      <c r="G6" s="55"/>
      <c r="H6" s="55"/>
      <c r="I6" s="55"/>
      <c r="J6" s="10"/>
      <c r="L6" s="42" t="s">
        <v>77</v>
      </c>
      <c r="M6" s="177">
        <f>VLOOKUP(J4,Данные!L3:U133,5,FALSE())</f>
        <v>240</v>
      </c>
      <c r="N6" s="58">
        <v>240</v>
      </c>
      <c r="Q6" s="4" t="s">
        <v>6</v>
      </c>
      <c r="R6" s="59"/>
      <c r="S6" s="55"/>
      <c r="T6" s="55"/>
      <c r="U6" s="813" t="s">
        <v>1066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34">
        <v>9</v>
      </c>
      <c r="G7" s="20"/>
      <c r="H7" s="20"/>
      <c r="I7" s="20"/>
      <c r="J7" s="40"/>
      <c r="L7" s="47" t="s">
        <v>78</v>
      </c>
      <c r="M7" s="177">
        <f>VLOOKUP(J4,Данные!L3:U134,6,FALSE())</f>
        <v>247</v>
      </c>
      <c r="N7" s="58">
        <v>247</v>
      </c>
      <c r="Q7" s="19" t="s">
        <v>10</v>
      </c>
      <c r="R7" s="65"/>
      <c r="S7" s="20"/>
      <c r="T7" s="20"/>
      <c r="U7" s="1034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5" t="s">
        <v>663</v>
      </c>
      <c r="G8" s="55"/>
      <c r="H8" s="59"/>
      <c r="I8" s="55" t="s">
        <v>17</v>
      </c>
      <c r="J8" s="15">
        <f>F9/F11</f>
        <v>0.13986013986013987</v>
      </c>
      <c r="L8" s="42" t="s">
        <v>79</v>
      </c>
      <c r="M8" s="177">
        <f>VLOOKUP(J4,Данные!L3:U135,4,FALSE())</f>
        <v>640</v>
      </c>
      <c r="N8" s="58">
        <v>640</v>
      </c>
      <c r="Q8" s="4" t="s">
        <v>16</v>
      </c>
      <c r="R8" s="55"/>
      <c r="S8" s="55"/>
      <c r="T8" s="55"/>
      <c r="U8" s="58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2</v>
      </c>
      <c r="G9" s="55"/>
      <c r="H9" s="59"/>
      <c r="I9" s="55" t="s">
        <v>23</v>
      </c>
      <c r="J9" s="15">
        <f>F9/F15</f>
        <v>0.10101010101010101</v>
      </c>
      <c r="L9" s="1577"/>
      <c r="M9" s="1577"/>
      <c r="N9" s="1577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1">
        <f>IF(M19&lt;100,ROUNDUP(M19,1),ROUNDUP(M19,0))</f>
        <v>42.9</v>
      </c>
      <c r="G10" s="55"/>
      <c r="H10" s="55"/>
      <c r="I10" s="55"/>
      <c r="J10" s="18"/>
      <c r="L10" s="1578" t="s">
        <v>80</v>
      </c>
      <c r="M10" s="1578"/>
      <c r="N10" s="1578"/>
      <c r="Q10" s="4" t="s">
        <v>22</v>
      </c>
      <c r="R10" s="55"/>
      <c r="S10" s="55"/>
      <c r="T10" s="55"/>
      <c r="U10" s="431">
        <v>95.1</v>
      </c>
      <c r="V10" s="55"/>
      <c r="W10" s="55"/>
      <c r="X10" s="55"/>
      <c r="Y10" s="18"/>
    </row>
    <row r="11" spans="2:25" ht="15.6" x14ac:dyDescent="0.3">
      <c r="B11" s="4" t="s">
        <v>81</v>
      </c>
      <c r="C11" s="55"/>
      <c r="D11" s="55"/>
      <c r="E11" s="55"/>
      <c r="F11" s="431">
        <f>F10/F16</f>
        <v>14.299999999999999</v>
      </c>
      <c r="G11" s="55"/>
      <c r="H11" s="55"/>
      <c r="I11" s="55"/>
      <c r="J11" s="18"/>
      <c r="L11" s="42" t="s">
        <v>76</v>
      </c>
      <c r="M11" s="177">
        <f>M5</f>
        <v>35</v>
      </c>
      <c r="N11" s="58">
        <v>35</v>
      </c>
      <c r="Q11" s="4" t="s">
        <v>81</v>
      </c>
      <c r="R11" s="55"/>
      <c r="S11" s="55"/>
      <c r="T11" s="55"/>
      <c r="U11" s="431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57.1</v>
      </c>
      <c r="G12" s="55"/>
      <c r="H12" s="55"/>
      <c r="I12" s="55"/>
      <c r="J12" s="18"/>
      <c r="L12" s="42" t="s">
        <v>82</v>
      </c>
      <c r="M12" s="177">
        <f>VLOOKUP(J4,Данные!L3:U134,10,FALSE())</f>
        <v>80</v>
      </c>
      <c r="N12" s="58">
        <v>80</v>
      </c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1">
        <f>F12/F16</f>
        <v>19.033333333333335</v>
      </c>
      <c r="G13" s="55"/>
      <c r="H13" s="55"/>
      <c r="I13" s="55"/>
      <c r="J13" s="18"/>
      <c r="L13" s="42" t="s">
        <v>78</v>
      </c>
      <c r="M13" s="177">
        <f>M7</f>
        <v>247</v>
      </c>
      <c r="N13" s="58">
        <v>247</v>
      </c>
      <c r="Q13" s="4" t="s">
        <v>29</v>
      </c>
      <c r="R13" s="55"/>
      <c r="S13" s="55"/>
      <c r="T13" s="55"/>
      <c r="U13" s="431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59.4</v>
      </c>
      <c r="G14" s="55"/>
      <c r="H14" s="55"/>
      <c r="I14" s="55"/>
      <c r="J14" s="18"/>
      <c r="L14" s="42" t="s">
        <v>83</v>
      </c>
      <c r="M14" s="177">
        <f>VLOOKUP(J4,Данные!L3:U134,7,FALSE())</f>
        <v>280</v>
      </c>
      <c r="N14" s="58">
        <v>280</v>
      </c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1">
        <f>F14/F16</f>
        <v>19.8</v>
      </c>
      <c r="G15" s="55"/>
      <c r="H15" s="55"/>
      <c r="I15" s="55"/>
      <c r="J15" s="18"/>
      <c r="L15" s="42" t="s">
        <v>839</v>
      </c>
      <c r="M15" s="443">
        <f>Данные!L135</f>
        <v>104</v>
      </c>
      <c r="N15" s="1338">
        <v>105</v>
      </c>
      <c r="O15" s="442">
        <f>VLOOKUP(J4,Данные!L3:U134,3,FALSE())</f>
        <v>105</v>
      </c>
      <c r="Q15" s="4" t="s">
        <v>34</v>
      </c>
      <c r="R15" s="55"/>
      <c r="S15" s="55"/>
      <c r="T15" s="55"/>
      <c r="U15" s="431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3">
        <f>F18*F17</f>
        <v>3</v>
      </c>
      <c r="G16" s="55"/>
      <c r="H16" s="55"/>
      <c r="I16" s="55"/>
      <c r="J16" s="18"/>
      <c r="L16" s="1339" t="s">
        <v>798</v>
      </c>
      <c r="M16" s="1340"/>
      <c r="N16" s="1338"/>
      <c r="O16" s="442" t="s">
        <v>797</v>
      </c>
      <c r="Q16" s="4" t="s">
        <v>36</v>
      </c>
      <c r="R16" s="55"/>
      <c r="S16" s="55"/>
      <c r="T16" s="55"/>
      <c r="U16" s="173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3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3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1">
        <v>3</v>
      </c>
      <c r="G18" s="20"/>
      <c r="H18" s="20"/>
      <c r="I18" s="20"/>
      <c r="J18" s="22"/>
      <c r="L18" s="181" t="s">
        <v>12</v>
      </c>
      <c r="M18" s="182">
        <f>VLOOKUP(F8,Данные!A3:I27,9,FALSE())</f>
        <v>8.8800000000000008</v>
      </c>
      <c r="Q18" s="19" t="s">
        <v>40</v>
      </c>
      <c r="R18" s="20"/>
      <c r="S18" s="20"/>
      <c r="T18" s="20"/>
      <c r="U18" s="361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6" t="s">
        <v>435</v>
      </c>
      <c r="E19" s="45"/>
      <c r="F19" s="165" t="str">
        <f>"Формовочный уклон "&amp;ROUND(Данные!E38,0)</f>
        <v>Формовочный уклон 5</v>
      </c>
      <c r="G19" s="5"/>
      <c r="H19" s="5"/>
      <c r="I19" s="166"/>
      <c r="J19" s="167"/>
      <c r="L19" s="137" t="s">
        <v>22</v>
      </c>
      <c r="M19" s="137">
        <f>IF(Данные!B41=FALSE,(M4+M5)/2*(M6+M7)/2*M18*M8/1000000,(N4+N5)/2*(N6+N7)/2*M18*N8/1000000)</f>
        <v>42.899635200000006</v>
      </c>
      <c r="Q19" s="12"/>
      <c r="R19" s="5"/>
      <c r="S19" s="616" t="s">
        <v>435</v>
      </c>
      <c r="T19" s="45"/>
      <c r="U19" s="165" t="str">
        <f>"Формовочный уклон "&amp;ROUND(Данные!AD38,0)</f>
        <v>Формовочный уклон 70</v>
      </c>
      <c r="V19" s="5"/>
      <c r="W19" s="5"/>
      <c r="X19" s="166"/>
      <c r="Y19" s="167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IF(Данные!B41=FALSE,F10+((M11+M12)/2*((M13+M14)/2)*M15*M18)/1000000,F10+((N11+N12)/2*((N13+N14)/2)*N15*M18)/1000000)</f>
        <v>57.027025500000001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9" t="s">
        <v>85</v>
      </c>
      <c r="M21" s="179" t="s">
        <v>86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IF(Данные!B41=TRUE,ROUNDUP(N6*0.985,0),ROUNDUP(M6*0.985,0))</f>
        <v>237</v>
      </c>
      <c r="J22" s="27"/>
      <c r="L22" s="42" t="s">
        <v>87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( 60 )</v>
      </c>
      <c r="J23" s="27"/>
      <c r="L23" s="42" t="s">
        <v>88</v>
      </c>
      <c r="M23" s="51">
        <v>60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89</v>
      </c>
      <c r="M24" s="51">
        <v>600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583"/>
      <c r="M25" s="1584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8">
        <f>M22*M24*M23*M18/1000000</f>
        <v>1.9180800000000002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311</v>
      </c>
      <c r="M27" s="136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x14ac:dyDescent="0.3">
      <c r="B28" s="4"/>
      <c r="C28" s="55"/>
      <c r="D28" s="59"/>
      <c r="E28" s="55"/>
      <c r="F28" s="55"/>
      <c r="G28" s="55"/>
      <c r="H28" s="55"/>
      <c r="I28" s="29"/>
      <c r="J28" s="27"/>
      <c r="L28" s="1579" t="s">
        <v>323</v>
      </c>
      <c r="M28" s="1580"/>
      <c r="Q28" s="4"/>
      <c r="R28" s="55"/>
      <c r="S28" s="59"/>
      <c r="T28" s="55"/>
      <c r="U28" s="55"/>
      <c r="V28" s="55"/>
      <c r="W28" s="55"/>
      <c r="X28" s="29"/>
      <c r="Y28" s="27"/>
    </row>
    <row r="29" spans="2:25" ht="15.6" x14ac:dyDescent="0.3">
      <c r="B29" s="4"/>
      <c r="C29" s="33">
        <f>IF(Данные!B41=TRUE,N15*0.985,ROUNDUP(M15*0.985,0))</f>
        <v>103.425</v>
      </c>
      <c r="D29" s="59"/>
      <c r="E29" s="34">
        <f>IF(Данные!B41=TRUE,N8*0.985,ROUNDUP(M8*0.985,0))</f>
        <v>630.4</v>
      </c>
      <c r="F29" s="55"/>
      <c r="G29" s="55"/>
      <c r="H29" s="55"/>
      <c r="I29" s="29"/>
      <c r="J29" s="27"/>
      <c r="L29" s="1581" t="s">
        <v>276</v>
      </c>
      <c r="M29" s="1582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x14ac:dyDescent="0.3">
      <c r="B30" s="4"/>
      <c r="C30" s="59"/>
      <c r="D30" s="55"/>
      <c r="E30" s="26" t="str">
        <f>"( "&amp;M24&amp;" )"</f>
        <v>( 600 )</v>
      </c>
      <c r="F30" s="31"/>
      <c r="G30" s="55"/>
      <c r="H30" s="55"/>
      <c r="I30" s="29"/>
      <c r="J30" s="27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ht="15.6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24" t="s">
        <v>344</v>
      </c>
      <c r="M31" s="1018"/>
      <c r="N31" s="1018"/>
      <c r="O31" s="1018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25" t="s">
        <v>351</v>
      </c>
      <c r="M32" s="1019"/>
      <c r="N32" s="1019"/>
      <c r="O32" s="1019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IF(Данные!B41=TRUE,N4*0.985,ROUNDUP(M4*0.985,0))</f>
        <v>26.594999999999999</v>
      </c>
      <c r="J33" s="580"/>
      <c r="L33" s="1025"/>
      <c r="M33" s="1019"/>
      <c r="N33" s="1019"/>
      <c r="O33" s="1019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80"/>
    </row>
    <row r="34" spans="2:25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5.6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42" t="s">
        <v>90</v>
      </c>
      <c r="M35" s="50">
        <f>VLOOKUP(J4,Данные!L3:V135,11,FALSE())</f>
        <v>0</v>
      </c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>ХХХХХХХХХХХХХХХХХХХХХХХХХХХХХХХХХХХХХХХХ</v>
      </c>
      <c r="E37" s="59"/>
      <c r="F37" s="55"/>
      <c r="G37" s="55"/>
      <c r="H37" s="55"/>
      <c r="I37" s="23"/>
      <c r="J37" s="24"/>
      <c r="L37" t="s">
        <v>965</v>
      </c>
      <c r="M37" s="43" t="s">
        <v>963</v>
      </c>
      <c r="N37">
        <v>2.2999999999999998</v>
      </c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7" t="s">
        <v>434</v>
      </c>
      <c r="D38" s="55"/>
      <c r="E38" s="55"/>
      <c r="F38" s="55"/>
      <c r="G38" s="55"/>
      <c r="H38" s="55"/>
      <c r="I38" s="23"/>
      <c r="J38" s="24"/>
      <c r="M38" s="43" t="s">
        <v>964</v>
      </c>
      <c r="N38">
        <v>2.7</v>
      </c>
      <c r="O38" s="140"/>
      <c r="Q38" s="4"/>
      <c r="R38" s="357" t="s">
        <v>1239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7"/>
      <c r="D39" s="81"/>
      <c r="E39" s="59"/>
      <c r="F39" s="55"/>
      <c r="G39" s="55"/>
      <c r="H39" s="55"/>
      <c r="I39" s="23"/>
      <c r="J39" s="24"/>
      <c r="L39"/>
      <c r="M39" t="s">
        <v>966</v>
      </c>
      <c r="N39" s="620">
        <v>3</v>
      </c>
      <c r="O39" s="620"/>
      <c r="Q39" s="4"/>
      <c r="R39" s="357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L40"/>
      <c r="M40" s="43" t="s">
        <v>967</v>
      </c>
      <c r="N40" s="620">
        <v>3.5</v>
      </c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204"/>
      <c r="F41" s="81"/>
      <c r="G41" s="59"/>
      <c r="H41" s="81"/>
      <c r="I41" s="81"/>
      <c r="J41" s="454"/>
      <c r="Q41" s="4"/>
      <c r="R41" s="59"/>
      <c r="S41" s="81"/>
      <c r="T41" s="81"/>
      <c r="U41" s="81"/>
      <c r="V41" s="59"/>
      <c r="W41" s="81"/>
      <c r="X41" s="81"/>
      <c r="Y41" s="454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>Использовать холодильники</v>
      </c>
      <c r="D42" s="617"/>
      <c r="E42" s="358"/>
      <c r="F42" s="20"/>
      <c r="G42" s="65"/>
      <c r="H42" s="20"/>
      <c r="I42" s="20"/>
      <c r="J42" s="76"/>
      <c r="L42" s="43"/>
      <c r="M42" s="43"/>
      <c r="N42" s="43"/>
      <c r="O42" s="43"/>
      <c r="Q42" s="19"/>
      <c r="R42" s="127" t="str">
        <f>IF(OR(Данные!AA38=TRUE,Данные!AA42=TRUE),"Использовать холодильники","")</f>
        <v/>
      </c>
      <c r="S42" s="617"/>
      <c r="T42" s="358"/>
      <c r="U42" s="20"/>
      <c r="V42" s="65"/>
      <c r="W42" s="20"/>
      <c r="X42" s="20"/>
      <c r="Y42" s="76"/>
    </row>
    <row r="43" spans="2:25" x14ac:dyDescent="0.3">
      <c r="B43" s="4"/>
      <c r="C43" s="55" t="s">
        <v>264</v>
      </c>
      <c r="D43" s="55"/>
      <c r="E43" s="55"/>
      <c r="F43" s="53" t="s">
        <v>54</v>
      </c>
      <c r="G43" s="55"/>
      <c r="H43" s="55"/>
      <c r="I43" s="55"/>
      <c r="J43" s="10"/>
      <c r="L43" s="43"/>
      <c r="Q43" s="4"/>
      <c r="R43" s="55" t="s">
        <v>264</v>
      </c>
      <c r="S43" s="55"/>
      <c r="T43" s="55"/>
      <c r="U43" s="53" t="s">
        <v>54</v>
      </c>
      <c r="V43" s="55"/>
      <c r="W43" s="55"/>
      <c r="X43" s="55"/>
      <c r="Y43" s="10"/>
    </row>
    <row r="44" spans="2:25" x14ac:dyDescent="0.3">
      <c r="B44" s="4"/>
      <c r="C44" s="55" t="s">
        <v>60</v>
      </c>
      <c r="D44" s="55"/>
      <c r="E44" s="55"/>
      <c r="F44" s="52" t="s">
        <v>91</v>
      </c>
      <c r="G44" s="55"/>
      <c r="H44" s="55"/>
      <c r="I44" s="55"/>
      <c r="J44" s="10"/>
      <c r="M44" s="43"/>
      <c r="Q44" s="4"/>
      <c r="R44" s="55" t="s">
        <v>60</v>
      </c>
      <c r="S44" s="55"/>
      <c r="T44" s="55"/>
      <c r="U44" s="52" t="s">
        <v>91</v>
      </c>
      <c r="V44" s="55"/>
      <c r="W44" s="55"/>
      <c r="X44" s="55"/>
      <c r="Y44" s="10"/>
    </row>
    <row r="45" spans="2:25" x14ac:dyDescent="0.3">
      <c r="B45" s="4"/>
      <c r="C45" s="55" t="s">
        <v>55</v>
      </c>
      <c r="D45" s="55"/>
      <c r="E45" s="55"/>
      <c r="F45" s="53" t="s">
        <v>56</v>
      </c>
      <c r="G45" s="55"/>
      <c r="H45" s="55"/>
      <c r="I45" s="55"/>
      <c r="J45" s="10"/>
      <c r="Q45" s="4"/>
      <c r="R45" s="55" t="s">
        <v>55</v>
      </c>
      <c r="S45" s="55"/>
      <c r="T45" s="55"/>
      <c r="U45" s="53" t="s">
        <v>56</v>
      </c>
      <c r="V45" s="55"/>
      <c r="W45" s="55"/>
      <c r="X45" s="55"/>
      <c r="Y45" s="10"/>
    </row>
    <row r="46" spans="2:25" x14ac:dyDescent="0.3">
      <c r="B46" s="4"/>
      <c r="C46" s="55" t="s">
        <v>946</v>
      </c>
      <c r="D46" s="55"/>
      <c r="E46" s="55"/>
      <c r="F46" s="54" t="str">
        <f>Данные!C38</f>
        <v>1060-1080</v>
      </c>
      <c r="G46" s="17" t="s">
        <v>92</v>
      </c>
      <c r="H46" s="55"/>
      <c r="I46" s="55"/>
      <c r="J46" s="10"/>
      <c r="Q46" s="4"/>
      <c r="R46" s="55" t="s">
        <v>946</v>
      </c>
      <c r="S46" s="55"/>
      <c r="T46" s="55"/>
      <c r="U46" s="54" t="s">
        <v>120</v>
      </c>
      <c r="V46" s="17" t="s">
        <v>92</v>
      </c>
      <c r="W46" s="55"/>
      <c r="X46" s="55"/>
      <c r="Y46" s="10"/>
    </row>
    <row r="47" spans="2:25" x14ac:dyDescent="0.3">
      <c r="B47" s="4"/>
      <c r="C47" s="43" t="s">
        <v>436</v>
      </c>
      <c r="F47" s="44" t="s">
        <v>437</v>
      </c>
      <c r="G47" s="55"/>
      <c r="H47" s="55"/>
      <c r="J47" s="10"/>
      <c r="Q47" s="4"/>
      <c r="R47" s="43" t="s">
        <v>436</v>
      </c>
      <c r="S47" s="43"/>
      <c r="T47" s="43"/>
      <c r="U47" s="44" t="s">
        <v>437</v>
      </c>
      <c r="V47" s="55"/>
      <c r="W47" s="55"/>
      <c r="X47" s="43"/>
      <c r="Y47" s="10"/>
    </row>
    <row r="48" spans="2:25" x14ac:dyDescent="0.3">
      <c r="B48" s="4"/>
      <c r="C48" s="55" t="s">
        <v>50</v>
      </c>
      <c r="D48" s="55"/>
      <c r="E48" s="55"/>
      <c r="F48" s="53" t="str">
        <f>VLOOKUP(F8,Данные!A3:I27,6,FALSE())</f>
        <v>25010.00174</v>
      </c>
      <c r="G48" s="55"/>
      <c r="H48" s="55"/>
      <c r="I48" s="55"/>
      <c r="J48" s="10"/>
      <c r="Q48" s="4"/>
      <c r="R48" s="55" t="s">
        <v>50</v>
      </c>
      <c r="S48" s="55"/>
      <c r="T48" s="55"/>
      <c r="U48" s="53" t="s">
        <v>127</v>
      </c>
      <c r="V48" s="55"/>
      <c r="W48" s="55"/>
      <c r="X48" s="55"/>
      <c r="Y48" s="10"/>
    </row>
    <row r="49" spans="2:25" x14ac:dyDescent="0.3">
      <c r="B49" s="4"/>
      <c r="C49" s="55" t="s">
        <v>52</v>
      </c>
      <c r="D49" s="55"/>
      <c r="E49" s="55"/>
      <c r="F49" s="53" t="s">
        <v>93</v>
      </c>
      <c r="G49" s="55"/>
      <c r="H49" s="55"/>
      <c r="I49" s="55"/>
      <c r="J49" s="10"/>
      <c r="Q49" s="4"/>
      <c r="R49" s="55" t="s">
        <v>52</v>
      </c>
      <c r="S49" s="55"/>
      <c r="T49" s="55"/>
      <c r="U49" s="53" t="s">
        <v>93</v>
      </c>
      <c r="V49" s="55"/>
      <c r="W49" s="55"/>
      <c r="X49" s="55"/>
      <c r="Y49" s="10"/>
    </row>
    <row r="50" spans="2:25" x14ac:dyDescent="0.3">
      <c r="B50" s="4"/>
      <c r="C50" s="55" t="s">
        <v>94</v>
      </c>
      <c r="D50" s="55"/>
      <c r="E50" s="17"/>
      <c r="F50" s="44" t="s">
        <v>58</v>
      </c>
      <c r="G50" s="55"/>
      <c r="H50" s="55"/>
      <c r="I50" s="55"/>
      <c r="J50" s="10"/>
      <c r="Q50" s="4"/>
      <c r="R50" s="55" t="s">
        <v>94</v>
      </c>
      <c r="S50" s="55"/>
      <c r="T50" s="17"/>
      <c r="U50" s="44" t="s">
        <v>58</v>
      </c>
      <c r="V50" s="55"/>
      <c r="W50" s="55"/>
      <c r="X50" s="55"/>
      <c r="Y50" s="10"/>
    </row>
    <row r="51" spans="2:25" ht="15" thickBot="1" x14ac:dyDescent="0.35">
      <c r="B51" s="4"/>
      <c r="C51" s="55" t="s">
        <v>66</v>
      </c>
      <c r="D51" s="55"/>
      <c r="E51" s="17"/>
      <c r="F51" s="17" t="s">
        <v>67</v>
      </c>
      <c r="G51" s="55"/>
      <c r="H51" s="55"/>
      <c r="I51" s="55"/>
      <c r="J51" s="10"/>
      <c r="L51" s="140"/>
      <c r="Q51" s="4"/>
      <c r="R51" s="55" t="s">
        <v>66</v>
      </c>
      <c r="S51" s="55"/>
      <c r="T51" s="17"/>
      <c r="U51" s="17" t="s">
        <v>67</v>
      </c>
      <c r="V51" s="55"/>
      <c r="W51" s="55"/>
      <c r="X51" s="55"/>
      <c r="Y51" s="10"/>
    </row>
    <row r="52" spans="2:25" ht="15" thickBot="1" x14ac:dyDescent="0.35">
      <c r="B52" s="12"/>
      <c r="C52" s="5" t="s">
        <v>68</v>
      </c>
      <c r="D52" s="13"/>
      <c r="E52" s="37" t="s">
        <v>69</v>
      </c>
      <c r="F52" s="38" t="s">
        <v>68</v>
      </c>
      <c r="G52" s="13"/>
      <c r="H52" s="5" t="s">
        <v>70</v>
      </c>
      <c r="I52" s="5"/>
      <c r="J52" s="13"/>
      <c r="L52" s="140"/>
      <c r="Q52" s="12"/>
      <c r="R52" s="5" t="s">
        <v>68</v>
      </c>
      <c r="S52" s="13"/>
      <c r="T52" s="37" t="s">
        <v>69</v>
      </c>
      <c r="U52" s="38" t="s">
        <v>68</v>
      </c>
      <c r="V52" s="13"/>
      <c r="W52" s="5" t="s">
        <v>70</v>
      </c>
      <c r="X52" s="5"/>
      <c r="Y52" s="13"/>
    </row>
    <row r="53" spans="2:25" ht="15" thickBot="1" x14ac:dyDescent="0.35">
      <c r="B53" s="1571">
        <f ca="1">TODAY()</f>
        <v>45420</v>
      </c>
      <c r="C53" s="1571"/>
      <c r="D53" s="3"/>
      <c r="E53" s="39"/>
      <c r="F53" s="1"/>
      <c r="G53" s="3"/>
      <c r="H53" s="2"/>
      <c r="I53" s="2"/>
      <c r="J53" s="3"/>
      <c r="L53" s="140"/>
      <c r="Q53" s="1571">
        <f ca="1">TODAY()</f>
        <v>45420</v>
      </c>
      <c r="R53" s="1571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77"/>
      <c r="C54" s="20" t="s">
        <v>71</v>
      </c>
      <c r="D54" s="3"/>
      <c r="E54" s="21"/>
      <c r="F54" s="20"/>
      <c r="G54" s="20"/>
      <c r="H54" s="20"/>
      <c r="I54" s="20"/>
      <c r="J54" s="40"/>
      <c r="L54" s="60"/>
      <c r="M54" s="140"/>
      <c r="N54" s="140"/>
      <c r="Q54" s="77"/>
      <c r="R54" s="20" t="s">
        <v>71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4"/>
      <c r="C55" s="59"/>
      <c r="D55" s="59"/>
      <c r="E55" s="59"/>
      <c r="F55" s="59"/>
      <c r="G55" s="59"/>
      <c r="H55" s="59"/>
      <c r="I55" s="59"/>
      <c r="J55" s="10"/>
      <c r="L55" s="205"/>
      <c r="M55" s="205"/>
      <c r="Q55" s="4"/>
      <c r="R55" s="59"/>
      <c r="S55" s="59"/>
      <c r="T55" s="59"/>
      <c r="U55" s="59"/>
      <c r="V55" s="59"/>
      <c r="W55" s="59"/>
      <c r="X55" s="59"/>
      <c r="Y55" s="10"/>
    </row>
    <row r="56" spans="2:25" x14ac:dyDescent="0.3">
      <c r="B56" s="1573" t="s">
        <v>6</v>
      </c>
      <c r="C56" s="1574"/>
      <c r="D56" s="1575"/>
      <c r="E56" s="111" t="s">
        <v>297</v>
      </c>
      <c r="F56" s="112" t="s">
        <v>298</v>
      </c>
      <c r="G56" s="111" t="s">
        <v>298</v>
      </c>
      <c r="H56" s="111" t="s">
        <v>299</v>
      </c>
      <c r="I56" s="1573" t="s">
        <v>300</v>
      </c>
      <c r="J56" s="1575"/>
      <c r="L56" s="205"/>
      <c r="M56" s="205"/>
      <c r="N56" s="205"/>
      <c r="O56" s="43"/>
      <c r="Q56" s="1573" t="s">
        <v>6</v>
      </c>
      <c r="R56" s="1574"/>
      <c r="S56" s="1575"/>
      <c r="T56" s="111" t="s">
        <v>297</v>
      </c>
      <c r="U56" s="112" t="s">
        <v>298</v>
      </c>
      <c r="V56" s="111" t="s">
        <v>298</v>
      </c>
      <c r="W56" s="111" t="s">
        <v>299</v>
      </c>
      <c r="X56" s="108" t="s">
        <v>300</v>
      </c>
      <c r="Y56" s="521"/>
    </row>
    <row r="57" spans="2:25" ht="15" thickBot="1" x14ac:dyDescent="0.35">
      <c r="B57" s="1552" t="s">
        <v>301</v>
      </c>
      <c r="C57" s="1576"/>
      <c r="D57" s="1553"/>
      <c r="E57" s="115" t="s">
        <v>302</v>
      </c>
      <c r="F57" s="115" t="s">
        <v>303</v>
      </c>
      <c r="G57" s="115" t="s">
        <v>304</v>
      </c>
      <c r="H57" s="115"/>
      <c r="I57" s="1552" t="s">
        <v>305</v>
      </c>
      <c r="J57" s="1553"/>
      <c r="K57" s="528"/>
      <c r="L57" s="60"/>
      <c r="M57" s="140"/>
      <c r="N57" s="140"/>
      <c r="Q57" s="1552" t="s">
        <v>301</v>
      </c>
      <c r="R57" s="1576"/>
      <c r="S57" s="1553"/>
      <c r="T57" s="115" t="s">
        <v>302</v>
      </c>
      <c r="U57" s="115" t="s">
        <v>303</v>
      </c>
      <c r="V57" s="115" t="s">
        <v>304</v>
      </c>
      <c r="W57" s="115"/>
      <c r="X57" s="116" t="s">
        <v>305</v>
      </c>
      <c r="Y57" s="1031"/>
    </row>
    <row r="58" spans="2:25" ht="15" thickBot="1" x14ac:dyDescent="0.35">
      <c r="B58" s="1534" t="s">
        <v>405</v>
      </c>
      <c r="C58" s="1572"/>
      <c r="D58" s="1535"/>
      <c r="E58" s="200">
        <v>40</v>
      </c>
      <c r="F58" s="201">
        <v>1</v>
      </c>
      <c r="G58" s="200">
        <v>20</v>
      </c>
      <c r="H58" s="200">
        <v>3</v>
      </c>
      <c r="I58" s="1534">
        <f>ROUND(700*700*(E29+C29)/1000000*2.045*2.3/1000/F16,3)</f>
        <v>0.56399999999999995</v>
      </c>
      <c r="J58" s="1535"/>
      <c r="K58" s="527"/>
      <c r="L58" s="60"/>
      <c r="M58" s="140"/>
      <c r="N58" s="140"/>
      <c r="Q58" s="1534" t="s">
        <v>405</v>
      </c>
      <c r="R58" s="1572"/>
      <c r="S58" s="1535"/>
      <c r="T58" s="200">
        <v>40</v>
      </c>
      <c r="U58" s="1032">
        <v>1</v>
      </c>
      <c r="V58" s="200">
        <v>20</v>
      </c>
      <c r="W58" s="200">
        <v>3</v>
      </c>
      <c r="X58" s="1534">
        <f>ROUND(700*700*(T29+R29)/1000000*2.045*2.3/1000/U16,3)</f>
        <v>0.437</v>
      </c>
      <c r="Y58" s="1535"/>
    </row>
    <row r="59" spans="2:25" x14ac:dyDescent="0.3">
      <c r="L59" s="60"/>
    </row>
    <row r="60" spans="2:25" x14ac:dyDescent="0.3">
      <c r="L60" s="60"/>
    </row>
    <row r="61" spans="2:25" x14ac:dyDescent="0.3">
      <c r="L61" s="59"/>
    </row>
    <row r="62" spans="2:25" ht="15" thickBot="1" x14ac:dyDescent="0.35"/>
    <row r="63" spans="2:25" x14ac:dyDescent="0.3">
      <c r="B63" s="12"/>
      <c r="C63" s="71"/>
      <c r="D63" s="71"/>
      <c r="E63" s="71"/>
      <c r="F63" s="71"/>
      <c r="G63" s="71"/>
      <c r="H63" s="71">
        <f>SUM(D65:N65)</f>
        <v>520</v>
      </c>
      <c r="I63" s="71"/>
      <c r="J63" s="71"/>
      <c r="K63" s="71"/>
      <c r="L63" s="71"/>
      <c r="M63" s="71"/>
      <c r="N63" s="71"/>
      <c r="O63" s="13"/>
    </row>
    <row r="64" spans="2:25" ht="15" thickBot="1" x14ac:dyDescent="0.35">
      <c r="B64" s="4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10"/>
    </row>
    <row r="65" spans="2:15" ht="15" thickBot="1" x14ac:dyDescent="0.35">
      <c r="B65" s="4"/>
      <c r="C65" s="59"/>
      <c r="D65" s="107">
        <v>10</v>
      </c>
      <c r="E65" s="2">
        <v>82</v>
      </c>
      <c r="F65" s="2">
        <v>20</v>
      </c>
      <c r="G65" s="2">
        <v>82</v>
      </c>
      <c r="H65" s="2">
        <v>20</v>
      </c>
      <c r="I65" s="2">
        <v>82</v>
      </c>
      <c r="J65" s="2">
        <v>20</v>
      </c>
      <c r="K65" s="2">
        <v>82</v>
      </c>
      <c r="L65" s="2">
        <v>20</v>
      </c>
      <c r="M65" s="2">
        <v>82</v>
      </c>
      <c r="N65" s="2">
        <v>20</v>
      </c>
      <c r="O65" s="84"/>
    </row>
    <row r="66" spans="2:15" x14ac:dyDescent="0.3">
      <c r="B66" s="4"/>
      <c r="C66" s="59"/>
      <c r="D66" s="1096">
        <v>65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10"/>
    </row>
    <row r="67" spans="2:15" x14ac:dyDescent="0.3">
      <c r="B67" s="4"/>
      <c r="C67" s="59"/>
      <c r="D67" s="1096">
        <v>20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10"/>
    </row>
    <row r="68" spans="2:15" x14ac:dyDescent="0.3">
      <c r="B68" s="4"/>
      <c r="C68" s="59"/>
      <c r="D68" s="1096">
        <v>65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10"/>
    </row>
    <row r="69" spans="2:15" x14ac:dyDescent="0.3">
      <c r="B69" s="4">
        <f>SUM(D65:D73)</f>
        <v>340</v>
      </c>
      <c r="C69" s="59"/>
      <c r="D69" s="1096">
        <v>20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10"/>
    </row>
    <row r="70" spans="2:15" x14ac:dyDescent="0.3">
      <c r="B70" s="4"/>
      <c r="C70" s="59"/>
      <c r="D70" s="1096">
        <v>65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10"/>
    </row>
    <row r="71" spans="2:15" x14ac:dyDescent="0.3">
      <c r="B71" s="4"/>
      <c r="C71" s="59"/>
      <c r="D71" s="1096">
        <v>20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10"/>
    </row>
    <row r="72" spans="2:15" ht="15" thickBot="1" x14ac:dyDescent="0.35">
      <c r="B72" s="19"/>
      <c r="C72" s="65"/>
      <c r="D72" s="1199">
        <v>65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40"/>
    </row>
    <row r="73" spans="2:15" x14ac:dyDescent="0.3">
      <c r="D73" s="1446">
        <v>10</v>
      </c>
    </row>
    <row r="75" spans="2:15" x14ac:dyDescent="0.3">
      <c r="E75" t="s">
        <v>1233</v>
      </c>
      <c r="F75">
        <v>30</v>
      </c>
    </row>
    <row r="76" spans="2:15" x14ac:dyDescent="0.3">
      <c r="E76" t="s">
        <v>1234</v>
      </c>
      <c r="F76">
        <v>50</v>
      </c>
    </row>
    <row r="77" spans="2:15" x14ac:dyDescent="0.3">
      <c r="E77" t="s">
        <v>1235</v>
      </c>
      <c r="F77">
        <v>70</v>
      </c>
    </row>
  </sheetData>
  <mergeCells count="17">
    <mergeCell ref="L9:N9"/>
    <mergeCell ref="L10:N10"/>
    <mergeCell ref="L28:M28"/>
    <mergeCell ref="L29:M29"/>
    <mergeCell ref="L25:M25"/>
    <mergeCell ref="B53:C53"/>
    <mergeCell ref="I58:J58"/>
    <mergeCell ref="B58:D58"/>
    <mergeCell ref="B56:D56"/>
    <mergeCell ref="B57:D57"/>
    <mergeCell ref="I56:J56"/>
    <mergeCell ref="I57:J57"/>
    <mergeCell ref="Q53:R53"/>
    <mergeCell ref="Q58:S58"/>
    <mergeCell ref="X58:Y58"/>
    <mergeCell ref="Q56:S56"/>
    <mergeCell ref="Q57:S57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28</xdr:row>
                    <xdr:rowOff>15240</xdr:rowOff>
                  </from>
                  <to>
                    <xdr:col>14</xdr:col>
                    <xdr:colOff>83820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13</xdr:col>
                    <xdr:colOff>38100</xdr:colOff>
                    <xdr:row>26</xdr:row>
                    <xdr:rowOff>175260</xdr:rowOff>
                  </from>
                  <to>
                    <xdr:col>13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13</xdr:col>
                    <xdr:colOff>213360</xdr:colOff>
                    <xdr:row>28</xdr:row>
                    <xdr:rowOff>22860</xdr:rowOff>
                  </from>
                  <to>
                    <xdr:col>13</xdr:col>
                    <xdr:colOff>457200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zoomScale="70" zoomScaleNormal="70" zoomScaleSheetLayoutView="40" zoomScalePageLayoutView="70" workbookViewId="0">
      <selection activeCell="Q7" sqref="Q7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1205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1124</v>
      </c>
      <c r="K2" s="59"/>
      <c r="L2" s="1121" t="s">
        <v>819</v>
      </c>
      <c r="M2" s="1122"/>
      <c r="O2" s="12"/>
      <c r="P2" s="1598"/>
      <c r="Q2" s="1598"/>
      <c r="R2" s="1598"/>
      <c r="S2" s="1599"/>
      <c r="T2" s="1596" t="s">
        <v>818</v>
      </c>
      <c r="U2" s="1596"/>
      <c r="V2" s="1596"/>
      <c r="W2" s="1597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1124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83" t="s">
        <v>1267</v>
      </c>
      <c r="G3" s="71"/>
      <c r="H3" s="43"/>
      <c r="I3" s="427" t="s">
        <v>817</v>
      </c>
      <c r="J3" s="428">
        <v>22</v>
      </c>
      <c r="K3" s="429"/>
      <c r="L3" s="991" t="s">
        <v>787</v>
      </c>
      <c r="M3" s="992"/>
      <c r="O3" s="467" t="s">
        <v>815</v>
      </c>
      <c r="P3" s="458" t="s">
        <v>467</v>
      </c>
      <c r="Q3" s="458" t="s">
        <v>770</v>
      </c>
      <c r="R3" s="458" t="s">
        <v>769</v>
      </c>
      <c r="S3" s="461" t="s">
        <v>772</v>
      </c>
      <c r="T3" s="462" t="s">
        <v>467</v>
      </c>
      <c r="U3" s="462" t="s">
        <v>153</v>
      </c>
      <c r="V3" s="462" t="s">
        <v>773</v>
      </c>
      <c r="W3" s="468" t="s">
        <v>349</v>
      </c>
      <c r="Z3" s="4"/>
      <c r="AA3" s="71" t="s">
        <v>2</v>
      </c>
      <c r="AB3" s="71"/>
      <c r="AC3" s="71"/>
      <c r="AD3" s="631" t="s">
        <v>1108</v>
      </c>
      <c r="AE3" s="71"/>
      <c r="AF3" s="43"/>
      <c r="AG3" s="427" t="s">
        <v>817</v>
      </c>
      <c r="AH3" s="428">
        <v>27</v>
      </c>
      <c r="AJ3" s="1086"/>
      <c r="AK3" s="342"/>
      <c r="AL3" s="342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90"/>
      <c r="BD3" s="59"/>
      <c r="BE3" s="10"/>
    </row>
    <row r="4" spans="2:57" x14ac:dyDescent="0.3">
      <c r="B4" s="4"/>
      <c r="C4" s="59" t="s">
        <v>4</v>
      </c>
      <c r="D4" s="59"/>
      <c r="E4" s="59"/>
      <c r="F4" s="1184" t="s">
        <v>1268</v>
      </c>
      <c r="G4" s="426"/>
      <c r="H4" s="60"/>
      <c r="I4" s="59"/>
      <c r="J4" s="10"/>
      <c r="K4" s="4"/>
      <c r="L4" s="984">
        <f>VLOOKUP(J3,O4:W12,3,FALSE())</f>
        <v>735</v>
      </c>
      <c r="M4" s="985" t="s">
        <v>770</v>
      </c>
      <c r="N4" s="43"/>
      <c r="O4" s="469">
        <v>11</v>
      </c>
      <c r="P4" s="459">
        <v>290</v>
      </c>
      <c r="Q4" s="459">
        <v>745</v>
      </c>
      <c r="R4" s="459">
        <v>60</v>
      </c>
      <c r="S4" s="463">
        <v>60</v>
      </c>
      <c r="T4" s="462">
        <v>290</v>
      </c>
      <c r="U4" s="462">
        <v>100</v>
      </c>
      <c r="V4" s="462">
        <v>60</v>
      </c>
      <c r="W4" s="468">
        <v>110</v>
      </c>
      <c r="X4" s="343"/>
      <c r="Z4" s="4"/>
      <c r="AA4" s="59" t="s">
        <v>4</v>
      </c>
      <c r="AB4" s="59"/>
      <c r="AC4" s="59"/>
      <c r="AD4" s="632" t="s">
        <v>1109</v>
      </c>
      <c r="AE4" s="524"/>
      <c r="AF4" s="60"/>
      <c r="AG4" s="59"/>
      <c r="AH4" s="10"/>
      <c r="AJ4" s="1086"/>
      <c r="AK4" s="466"/>
      <c r="AL4" s="342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85" t="s">
        <v>1134</v>
      </c>
      <c r="G5" s="426"/>
      <c r="H5" s="60"/>
      <c r="I5" s="59"/>
      <c r="J5" s="10"/>
      <c r="K5" s="4"/>
      <c r="L5" s="984">
        <f>VLOOKUP(J3,O4:W12,2,FALSE())</f>
        <v>240</v>
      </c>
      <c r="M5" s="985" t="s">
        <v>467</v>
      </c>
      <c r="N5" s="43"/>
      <c r="O5" s="469">
        <v>3</v>
      </c>
      <c r="P5" s="459">
        <v>540</v>
      </c>
      <c r="Q5" s="459">
        <v>570</v>
      </c>
      <c r="R5" s="459">
        <v>40</v>
      </c>
      <c r="S5" s="463">
        <v>40</v>
      </c>
      <c r="T5" s="462">
        <v>550</v>
      </c>
      <c r="U5" s="462">
        <v>120</v>
      </c>
      <c r="V5" s="462">
        <v>40</v>
      </c>
      <c r="W5" s="468">
        <v>75</v>
      </c>
      <c r="X5" s="343"/>
      <c r="Z5" s="4"/>
      <c r="AA5" s="59" t="s">
        <v>6</v>
      </c>
      <c r="AB5" s="59"/>
      <c r="AC5" s="59"/>
      <c r="AD5" s="632" t="s">
        <v>1110</v>
      </c>
      <c r="AE5" s="52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4" t="s">
        <v>1171</v>
      </c>
      <c r="G6" s="344"/>
      <c r="H6" s="17"/>
      <c r="I6" s="59"/>
      <c r="J6" s="10"/>
      <c r="K6" s="4"/>
      <c r="L6" s="984">
        <f>VLOOKUP(J3,O4:W12,4,FALSE())</f>
        <v>40</v>
      </c>
      <c r="M6" s="985" t="s">
        <v>769</v>
      </c>
      <c r="N6" s="43"/>
      <c r="O6" s="469">
        <v>22</v>
      </c>
      <c r="P6" s="459">
        <v>240</v>
      </c>
      <c r="Q6" s="459">
        <v>735</v>
      </c>
      <c r="R6" s="459">
        <v>40</v>
      </c>
      <c r="S6" s="463">
        <v>40</v>
      </c>
      <c r="T6" s="462"/>
      <c r="U6" s="465"/>
      <c r="V6" s="465"/>
      <c r="W6" s="470"/>
      <c r="X6" s="343"/>
      <c r="Z6" s="4"/>
      <c r="AA6" s="59" t="s">
        <v>10</v>
      </c>
      <c r="AB6" s="59"/>
      <c r="AC6" s="59"/>
      <c r="AD6" s="1168" t="s">
        <v>1111</v>
      </c>
      <c r="AE6" s="344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86"/>
      <c r="G7" s="65"/>
      <c r="H7" s="65"/>
      <c r="I7" s="65"/>
      <c r="J7" s="40"/>
      <c r="K7" s="59"/>
      <c r="L7" s="984">
        <f>VLOOKUP(J3,O4:W12,5,FALSE())</f>
        <v>40</v>
      </c>
      <c r="M7" s="985" t="s">
        <v>772</v>
      </c>
      <c r="N7" s="43"/>
      <c r="O7" s="469">
        <v>27</v>
      </c>
      <c r="P7" s="459">
        <v>240</v>
      </c>
      <c r="Q7" s="459">
        <v>1050</v>
      </c>
      <c r="R7" s="459">
        <v>40</v>
      </c>
      <c r="S7" s="463">
        <v>40</v>
      </c>
      <c r="T7" s="462">
        <v>250</v>
      </c>
      <c r="U7" s="465">
        <v>80</v>
      </c>
      <c r="V7" s="465">
        <v>40</v>
      </c>
      <c r="W7" s="470">
        <v>40</v>
      </c>
      <c r="X7" s="343" t="s">
        <v>220</v>
      </c>
      <c r="Z7" s="19"/>
      <c r="AA7" s="65"/>
      <c r="AB7" s="65"/>
      <c r="AC7" s="65"/>
      <c r="AD7" s="633"/>
      <c r="AE7" s="65"/>
      <c r="AF7" s="65"/>
      <c r="AG7" s="65"/>
      <c r="AH7" s="40"/>
      <c r="AJ7" s="4"/>
      <c r="AK7" s="524">
        <v>60</v>
      </c>
      <c r="AL7" s="1096"/>
      <c r="AM7" s="970">
        <v>2</v>
      </c>
      <c r="AN7" s="1110"/>
      <c r="AO7" s="1110"/>
      <c r="AP7" s="1110"/>
      <c r="AQ7" s="1110"/>
      <c r="AR7" s="1110"/>
      <c r="AS7" s="1110"/>
      <c r="AT7" s="1110"/>
      <c r="AU7" s="1110"/>
      <c r="AV7" s="1110"/>
      <c r="AW7" s="1110"/>
      <c r="AX7" s="971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42" t="s">
        <v>28</v>
      </c>
      <c r="G8" s="71"/>
      <c r="H8" s="71"/>
      <c r="I8" s="71"/>
      <c r="J8" s="13"/>
      <c r="K8" s="59"/>
      <c r="L8" s="986">
        <f>(L6+L7)/2</f>
        <v>40</v>
      </c>
      <c r="M8" s="985" t="s">
        <v>788</v>
      </c>
      <c r="N8" s="43"/>
      <c r="O8" s="469">
        <v>28</v>
      </c>
      <c r="P8" s="459">
        <v>280</v>
      </c>
      <c r="Q8" s="459">
        <v>1000</v>
      </c>
      <c r="R8" s="459">
        <v>60</v>
      </c>
      <c r="S8" s="463">
        <v>60</v>
      </c>
      <c r="T8" s="462">
        <v>280</v>
      </c>
      <c r="U8" s="465">
        <v>100</v>
      </c>
      <c r="V8" s="465">
        <v>60</v>
      </c>
      <c r="W8" s="470">
        <v>80</v>
      </c>
      <c r="X8" s="343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87"/>
      <c r="AN8" s="59"/>
      <c r="AO8" s="1087"/>
      <c r="AP8" s="60"/>
      <c r="AQ8" s="1087"/>
      <c r="AR8" s="1087"/>
      <c r="AS8" s="1087"/>
      <c r="AT8" s="1087"/>
      <c r="AU8" s="1087"/>
      <c r="AV8" s="1087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6">
        <f>IF(M23=0,IF(M24&lt;100,ROUNDUP(M24,1),ROUNDUP(M24,0)),M23)</f>
        <v>5.9</v>
      </c>
      <c r="G9" s="59"/>
      <c r="H9" s="17"/>
      <c r="I9" s="59" t="s">
        <v>17</v>
      </c>
      <c r="J9" s="15">
        <f>F9/F11</f>
        <v>0.22264150943396227</v>
      </c>
      <c r="K9" s="183"/>
      <c r="L9" s="608"/>
      <c r="M9" s="987"/>
      <c r="N9" s="43"/>
      <c r="O9" s="469">
        <v>23</v>
      </c>
      <c r="P9" s="459">
        <v>370</v>
      </c>
      <c r="Q9" s="459">
        <f>1440-150</f>
        <v>1290</v>
      </c>
      <c r="R9" s="459">
        <v>70</v>
      </c>
      <c r="S9" s="463">
        <v>80</v>
      </c>
      <c r="T9" s="462">
        <v>370</v>
      </c>
      <c r="U9" s="465">
        <v>130</v>
      </c>
      <c r="V9" s="465">
        <v>80</v>
      </c>
      <c r="W9" s="470">
        <v>150</v>
      </c>
      <c r="X9" s="342" t="s">
        <v>220</v>
      </c>
      <c r="Z9" s="4"/>
      <c r="AA9" s="59" t="s">
        <v>19</v>
      </c>
      <c r="AB9" s="59"/>
      <c r="AC9" s="59"/>
      <c r="AD9" s="526">
        <v>2.2000000000000002</v>
      </c>
      <c r="AE9" s="59"/>
      <c r="AF9" s="83"/>
      <c r="AG9" s="59"/>
      <c r="AH9" s="15"/>
      <c r="AJ9" s="4"/>
      <c r="AK9" s="186">
        <v>120</v>
      </c>
      <c r="AL9" s="1096"/>
      <c r="AM9" s="970">
        <v>2</v>
      </c>
      <c r="AN9" s="1110"/>
      <c r="AO9" s="1110"/>
      <c r="AP9" s="1110"/>
      <c r="AQ9" s="1110"/>
      <c r="AR9" s="1110"/>
      <c r="AS9" s="1110"/>
      <c r="AT9" s="1110"/>
      <c r="AU9" s="1110"/>
      <c r="AV9" s="1110"/>
      <c r="AW9" s="1110"/>
      <c r="AX9" s="971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6">
        <f>IF(M17&lt;100,ROUNDUP(M17,1),ROUNDUP(M17,0))</f>
        <v>53</v>
      </c>
      <c r="G10" s="59"/>
      <c r="H10" s="16"/>
      <c r="I10" s="59" t="s">
        <v>17</v>
      </c>
      <c r="J10" s="15">
        <f>F9/F15</f>
        <v>0.21376811594202899</v>
      </c>
      <c r="K10" s="183"/>
      <c r="L10" s="993" t="s">
        <v>80</v>
      </c>
      <c r="M10" s="994"/>
      <c r="N10" s="43"/>
      <c r="O10" s="471">
        <v>21</v>
      </c>
      <c r="P10" s="460">
        <v>490</v>
      </c>
      <c r="Q10" s="460">
        <v>1320</v>
      </c>
      <c r="R10" s="460">
        <v>100</v>
      </c>
      <c r="S10" s="464">
        <v>103</v>
      </c>
      <c r="T10" s="462">
        <v>490</v>
      </c>
      <c r="U10" s="465">
        <v>120</v>
      </c>
      <c r="V10" s="465">
        <v>103</v>
      </c>
      <c r="W10" s="470">
        <v>150</v>
      </c>
      <c r="X10" s="342"/>
      <c r="Z10" s="4"/>
      <c r="AA10" s="59" t="s">
        <v>22</v>
      </c>
      <c r="AB10" s="59"/>
      <c r="AC10" s="59"/>
      <c r="AD10" s="52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93"/>
      <c r="AN10" s="71"/>
      <c r="AO10" s="747"/>
      <c r="AP10" s="71"/>
      <c r="AQ10" s="1093"/>
      <c r="AR10" s="71"/>
      <c r="AS10" s="1093"/>
      <c r="AT10" s="71"/>
      <c r="AU10" s="1093"/>
      <c r="AV10" s="71"/>
      <c r="AW10" s="1093"/>
      <c r="AX10" s="71"/>
      <c r="AY10" s="74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81</v>
      </c>
      <c r="D11" s="59"/>
      <c r="E11" s="59"/>
      <c r="F11" s="526">
        <f>ROUNDUP(F10/F16,1)</f>
        <v>26.5</v>
      </c>
      <c r="G11" s="59"/>
      <c r="H11" s="16"/>
      <c r="I11" s="59"/>
      <c r="J11" s="10"/>
      <c r="K11" s="426"/>
      <c r="L11" s="984">
        <f>VLOOKUP(J3,O4:W12,7,FALSE())</f>
        <v>0</v>
      </c>
      <c r="M11" s="985" t="s">
        <v>770</v>
      </c>
      <c r="N11" s="43"/>
      <c r="O11" s="469" t="s">
        <v>816</v>
      </c>
      <c r="P11" s="459">
        <v>490</v>
      </c>
      <c r="Q11" s="459">
        <v>1320</v>
      </c>
      <c r="R11" s="459">
        <v>50</v>
      </c>
      <c r="S11" s="463">
        <v>51</v>
      </c>
      <c r="T11" s="462">
        <v>490</v>
      </c>
      <c r="U11" s="465">
        <v>120</v>
      </c>
      <c r="V11" s="465">
        <v>51</v>
      </c>
      <c r="W11" s="470">
        <v>75</v>
      </c>
      <c r="X11" s="342"/>
      <c r="Z11" s="4"/>
      <c r="AA11" s="59" t="s">
        <v>81</v>
      </c>
      <c r="AB11" s="59"/>
      <c r="AC11" s="59"/>
      <c r="AD11" s="526">
        <v>12.6</v>
      </c>
      <c r="AE11" s="59"/>
      <c r="AF11" s="16"/>
      <c r="AG11" s="59"/>
      <c r="AH11" s="15"/>
      <c r="AJ11" s="4">
        <f>SUM(AK6:AK14)</f>
        <v>480</v>
      </c>
      <c r="AK11" s="524">
        <v>120</v>
      </c>
      <c r="AL11" s="1094"/>
      <c r="AM11" s="1114">
        <v>1</v>
      </c>
      <c r="AN11" s="1088"/>
      <c r="AO11" s="1114">
        <v>1</v>
      </c>
      <c r="AP11" s="1088"/>
      <c r="AQ11" s="1114">
        <v>1</v>
      </c>
      <c r="AR11" s="1088"/>
      <c r="AS11" s="1114">
        <v>1</v>
      </c>
      <c r="AT11" s="706"/>
      <c r="AU11" s="1114">
        <v>1</v>
      </c>
      <c r="AV11" s="1088"/>
      <c r="AW11" s="1114">
        <v>1</v>
      </c>
      <c r="AX11" s="1088"/>
      <c r="AY11" s="1114">
        <v>1</v>
      </c>
      <c r="AZ11" s="1091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6">
        <f>IF(M18&lt;100,ROUNDUP(M18,1),ROUNDUP(M18,0))</f>
        <v>53</v>
      </c>
      <c r="G12" s="59"/>
      <c r="H12" s="16"/>
      <c r="I12" s="59"/>
      <c r="J12" s="18"/>
      <c r="K12" s="426"/>
      <c r="L12" s="984">
        <f>VLOOKUP(J3,O4:W12,6,FALSE())</f>
        <v>0</v>
      </c>
      <c r="M12" s="985" t="s">
        <v>467</v>
      </c>
      <c r="N12" s="43"/>
      <c r="O12" s="472">
        <v>30</v>
      </c>
      <c r="P12" s="473">
        <v>510</v>
      </c>
      <c r="Q12" s="473">
        <v>1300</v>
      </c>
      <c r="R12" s="473">
        <v>45</v>
      </c>
      <c r="S12" s="474">
        <v>50</v>
      </c>
      <c r="T12" s="475">
        <v>510</v>
      </c>
      <c r="U12" s="476">
        <v>160</v>
      </c>
      <c r="V12" s="476">
        <v>50</v>
      </c>
      <c r="W12" s="477">
        <v>75</v>
      </c>
      <c r="X12" s="466"/>
      <c r="Y12" s="1067"/>
      <c r="Z12" s="4"/>
      <c r="AA12" s="59" t="s">
        <v>27</v>
      </c>
      <c r="AB12" s="59"/>
      <c r="AC12" s="59"/>
      <c r="AD12" s="52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92"/>
      <c r="AN12" s="59"/>
      <c r="AO12" s="1092"/>
      <c r="AP12" s="59"/>
      <c r="AQ12" s="1092"/>
      <c r="AR12" s="59"/>
      <c r="AS12" s="1092"/>
      <c r="AT12" s="59"/>
      <c r="AU12" s="1092"/>
      <c r="AV12" s="59"/>
      <c r="AW12" s="1092"/>
      <c r="AX12" s="59"/>
      <c r="AY12" s="1092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6">
        <f>ROUNDUP(F12/F16,1)</f>
        <v>26.5</v>
      </c>
      <c r="G13" s="59"/>
      <c r="H13" s="16"/>
      <c r="I13" s="59"/>
      <c r="J13" s="18"/>
      <c r="K13" s="426"/>
      <c r="L13" s="984">
        <f>VLOOKUP(J3,O4:W12,8,FALSE())</f>
        <v>0</v>
      </c>
      <c r="M13" s="985" t="s">
        <v>789</v>
      </c>
      <c r="N13" s="43"/>
      <c r="X13" s="60"/>
      <c r="Y13" s="1067"/>
      <c r="Z13" s="4"/>
      <c r="AA13" s="59" t="s">
        <v>29</v>
      </c>
      <c r="AB13" s="59"/>
      <c r="AC13" s="59"/>
      <c r="AD13" s="526">
        <v>13.6</v>
      </c>
      <c r="AE13" s="59"/>
      <c r="AF13" s="16"/>
      <c r="AG13" s="59"/>
      <c r="AH13" s="18"/>
      <c r="AJ13" s="4"/>
      <c r="AK13" s="524">
        <v>60</v>
      </c>
      <c r="AL13" s="1094"/>
      <c r="AM13" s="1114">
        <v>1</v>
      </c>
      <c r="AN13" s="1088"/>
      <c r="AO13" s="1114">
        <v>1</v>
      </c>
      <c r="AP13" s="1088"/>
      <c r="AQ13" s="1114">
        <v>1</v>
      </c>
      <c r="AR13" s="1088"/>
      <c r="AS13" s="1114">
        <v>1</v>
      </c>
      <c r="AT13" s="1088"/>
      <c r="AU13" s="1114">
        <v>1</v>
      </c>
      <c r="AV13" s="1088"/>
      <c r="AW13" s="1114">
        <v>1</v>
      </c>
      <c r="AX13" s="1088"/>
      <c r="AY13" s="1114">
        <v>1</v>
      </c>
      <c r="AZ13" s="1091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6">
        <f>IF(F12&lt;97,ROUNDUP(M18*1.04,1),ROUNDUP(M18*1.04,0))</f>
        <v>55.1</v>
      </c>
      <c r="G14" s="59"/>
      <c r="H14" s="16"/>
      <c r="I14" s="59"/>
      <c r="J14" s="18"/>
      <c r="K14" s="426"/>
      <c r="L14" s="984">
        <f>VLOOKUP(J3,O4:W12,9,FALSE())</f>
        <v>0</v>
      </c>
      <c r="M14" s="985" t="s">
        <v>790</v>
      </c>
      <c r="N14" s="43"/>
      <c r="X14" s="60"/>
      <c r="Y14" s="1067"/>
      <c r="Z14" s="4"/>
      <c r="AA14" s="59" t="s">
        <v>32</v>
      </c>
      <c r="AB14" s="59"/>
      <c r="AC14" s="59"/>
      <c r="AD14" s="52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97"/>
      <c r="AN14" s="65"/>
      <c r="AO14" s="1095"/>
      <c r="AP14" s="65"/>
      <c r="AQ14" s="1095"/>
      <c r="AR14" s="65"/>
      <c r="AS14" s="1095"/>
      <c r="AT14" s="65"/>
      <c r="AU14" s="1095"/>
      <c r="AV14" s="65"/>
      <c r="AW14" s="1095"/>
      <c r="AX14" s="65"/>
      <c r="AY14" s="1095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6">
        <f>ROUNDUP(F14/F16,1)</f>
        <v>27.6</v>
      </c>
      <c r="G15" s="59"/>
      <c r="H15" s="16"/>
      <c r="I15" s="59"/>
      <c r="J15" s="18"/>
      <c r="K15" s="426"/>
      <c r="L15" s="986">
        <f>(L13+L14)/2</f>
        <v>0</v>
      </c>
      <c r="M15" s="985" t="s">
        <v>791</v>
      </c>
      <c r="N15" s="43"/>
      <c r="X15" s="60"/>
      <c r="Z15" s="4"/>
      <c r="AA15" s="59" t="s">
        <v>34</v>
      </c>
      <c r="AB15" s="59"/>
      <c r="AC15" s="59"/>
      <c r="AD15" s="526">
        <v>14.2</v>
      </c>
      <c r="AE15" s="59"/>
      <c r="AF15" s="16"/>
      <c r="AG15" s="59"/>
      <c r="AH15" s="18"/>
      <c r="AJ15" s="4"/>
      <c r="AK15" s="524"/>
      <c r="AL15" s="524">
        <v>10</v>
      </c>
      <c r="AM15" s="524">
        <v>161</v>
      </c>
      <c r="AN15" s="524">
        <v>20</v>
      </c>
      <c r="AO15" s="524">
        <v>161</v>
      </c>
      <c r="AP15" s="524">
        <v>20</v>
      </c>
      <c r="AQ15" s="524">
        <v>161</v>
      </c>
      <c r="AR15" s="524">
        <v>20</v>
      </c>
      <c r="AS15" s="524">
        <v>161</v>
      </c>
      <c r="AT15" s="524">
        <v>20</v>
      </c>
      <c r="AU15" s="524">
        <v>161</v>
      </c>
      <c r="AV15" s="524">
        <v>20</v>
      </c>
      <c r="AW15" s="524">
        <v>161</v>
      </c>
      <c r="AX15" s="524">
        <v>20</v>
      </c>
      <c r="AY15" s="524">
        <v>161</v>
      </c>
      <c r="AZ15" s="524">
        <v>20</v>
      </c>
      <c r="BA15" s="524"/>
      <c r="BB15" s="524"/>
      <c r="BC15" s="524"/>
      <c r="BD15" s="524"/>
      <c r="BE15" s="10"/>
    </row>
    <row r="16" spans="2:57" ht="15" thickBot="1" x14ac:dyDescent="0.35">
      <c r="B16" s="4"/>
      <c r="C16" s="59" t="s">
        <v>36</v>
      </c>
      <c r="D16" s="59"/>
      <c r="E16" s="59"/>
      <c r="F16" s="173">
        <f>F17*F18</f>
        <v>2</v>
      </c>
      <c r="G16" s="344"/>
      <c r="H16" s="79"/>
      <c r="I16" s="59"/>
      <c r="J16" s="18"/>
      <c r="K16" s="426"/>
      <c r="L16" s="608"/>
      <c r="M16" s="1026">
        <f>VLOOKUP(F8,C69:F82,3,)</f>
        <v>7.5</v>
      </c>
      <c r="N16" s="43"/>
      <c r="O16" s="1064"/>
      <c r="P16" s="1171"/>
      <c r="Q16" s="1560" t="s">
        <v>1082</v>
      </c>
      <c r="R16" s="1560"/>
      <c r="S16" s="1560"/>
      <c r="T16" s="1560"/>
      <c r="U16" s="1560"/>
      <c r="V16" s="1065"/>
      <c r="X16" s="60"/>
      <c r="Z16" s="4"/>
      <c r="AA16" s="59" t="s">
        <v>36</v>
      </c>
      <c r="AB16" s="59"/>
      <c r="AC16" s="59"/>
      <c r="AD16" s="173">
        <f>AD17*AD18</f>
        <v>6</v>
      </c>
      <c r="AH16" s="18"/>
      <c r="AJ16" s="4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4"/>
      <c r="AX16" s="524"/>
      <c r="AY16" s="524"/>
      <c r="AZ16" s="524"/>
      <c r="BA16" s="524"/>
      <c r="BB16" s="524"/>
      <c r="BC16" s="524"/>
      <c r="BD16" s="524"/>
      <c r="BE16" s="10"/>
    </row>
    <row r="17" spans="2:57" ht="15" thickBot="1" x14ac:dyDescent="0.35">
      <c r="B17" s="4"/>
      <c r="C17" s="59" t="s">
        <v>38</v>
      </c>
      <c r="D17" s="59"/>
      <c r="E17" s="59"/>
      <c r="F17" s="634">
        <v>1</v>
      </c>
      <c r="G17" s="524"/>
      <c r="H17" s="79"/>
      <c r="I17" s="59"/>
      <c r="J17" s="18"/>
      <c r="K17" s="426"/>
      <c r="L17" s="1027" t="s">
        <v>328</v>
      </c>
      <c r="M17" s="1028">
        <f>IF(N26=TRUE,M28*L5*L8*M16/1000000,L4*L5*L8*M16/1000000)</f>
        <v>52.92</v>
      </c>
      <c r="N17" s="43"/>
      <c r="O17" s="1118" t="s">
        <v>1114</v>
      </c>
      <c r="P17" s="1119">
        <v>1</v>
      </c>
      <c r="Q17" s="1119">
        <v>2</v>
      </c>
      <c r="R17" s="1119">
        <v>3</v>
      </c>
      <c r="S17" s="1119">
        <v>4</v>
      </c>
      <c r="T17" s="629">
        <v>5</v>
      </c>
      <c r="U17" s="1172" t="s">
        <v>874</v>
      </c>
      <c r="V17" s="629"/>
      <c r="X17" s="60"/>
      <c r="Z17" s="4"/>
      <c r="AA17" s="59" t="s">
        <v>40</v>
      </c>
      <c r="AB17" s="59"/>
      <c r="AC17" s="59"/>
      <c r="AD17" s="1170">
        <v>2</v>
      </c>
      <c r="AE17" s="344"/>
      <c r="AF17" s="79"/>
      <c r="AG17" s="59"/>
      <c r="AH17" s="18"/>
      <c r="AJ17" s="4"/>
      <c r="AK17" s="524"/>
      <c r="AL17" s="524"/>
      <c r="AM17" s="524"/>
      <c r="AN17" s="524"/>
      <c r="AO17" s="524"/>
      <c r="AP17" s="524"/>
      <c r="AQ17" s="524"/>
      <c r="AR17" s="524"/>
      <c r="AS17" s="524">
        <f>SUM(AL15:BC15)</f>
        <v>1277</v>
      </c>
      <c r="AT17" s="524"/>
      <c r="AU17" s="524"/>
      <c r="AV17" s="524"/>
      <c r="AW17" s="524"/>
      <c r="AX17" s="524"/>
      <c r="AY17" s="524"/>
      <c r="AZ17" s="524"/>
      <c r="BA17" s="524"/>
      <c r="BB17" s="524"/>
      <c r="BC17" s="524"/>
      <c r="BD17" s="524"/>
      <c r="BE17" s="10"/>
    </row>
    <row r="18" spans="2:57" ht="15" thickBot="1" x14ac:dyDescent="0.35">
      <c r="B18" s="19"/>
      <c r="C18" s="65" t="s">
        <v>40</v>
      </c>
      <c r="D18" s="65"/>
      <c r="E18" s="65"/>
      <c r="F18" s="635">
        <v>2</v>
      </c>
      <c r="G18" s="1167"/>
      <c r="H18" s="80"/>
      <c r="I18" s="65"/>
      <c r="J18" s="1189"/>
      <c r="K18" s="426"/>
      <c r="L18" s="1029" t="s">
        <v>1063</v>
      </c>
      <c r="M18" s="1030">
        <f>IF(N26=TRUE,M27*L5*L8*M16/1000000,(L4*L5*L8*M16+L11*L12*L15*M16)/1000000)</f>
        <v>52.92</v>
      </c>
      <c r="N18" s="43"/>
      <c r="O18" s="1115" t="s">
        <v>1043</v>
      </c>
      <c r="P18" s="1174">
        <v>1</v>
      </c>
      <c r="Q18" s="1175">
        <v>1</v>
      </c>
      <c r="R18" s="1175">
        <v>2</v>
      </c>
      <c r="S18" s="1175">
        <v>1</v>
      </c>
      <c r="T18" s="1176">
        <v>1</v>
      </c>
      <c r="U18" s="1592"/>
      <c r="V18" s="1593"/>
      <c r="X18" s="60"/>
      <c r="Z18" s="19"/>
      <c r="AA18" s="59" t="s">
        <v>38</v>
      </c>
      <c r="AB18" s="65"/>
      <c r="AC18" s="65"/>
      <c r="AD18" s="635">
        <v>3</v>
      </c>
      <c r="AE18" s="432"/>
      <c r="AF18" s="80"/>
      <c r="AG18" s="65"/>
      <c r="AH18" s="22"/>
      <c r="AJ18" s="4"/>
      <c r="AK18" s="524"/>
      <c r="AL18" s="524"/>
      <c r="AM18" s="524"/>
      <c r="AN18" s="524"/>
      <c r="AO18" s="524"/>
      <c r="AP18" s="524"/>
      <c r="AQ18" s="524"/>
      <c r="AR18" s="524"/>
      <c r="AS18" s="524"/>
      <c r="AT18" s="524"/>
      <c r="AU18" s="524"/>
      <c r="AV18" s="524"/>
      <c r="AW18" s="524"/>
      <c r="AX18" s="524"/>
      <c r="AY18" s="524"/>
      <c r="AZ18" s="524"/>
      <c r="BA18" s="524"/>
      <c r="BB18" s="524"/>
      <c r="BC18" s="524"/>
      <c r="BD18" s="524"/>
      <c r="BE18" s="10"/>
    </row>
    <row r="19" spans="2:57" ht="15" thickBot="1" x14ac:dyDescent="0.35">
      <c r="B19" s="12"/>
      <c r="E19" s="71"/>
      <c r="F19" s="71"/>
      <c r="G19" s="71"/>
      <c r="H19" s="71"/>
      <c r="J19" s="529"/>
      <c r="K19" s="24"/>
      <c r="L19" s="1120" t="s">
        <v>85</v>
      </c>
      <c r="M19" s="1077"/>
      <c r="N19" s="43"/>
      <c r="O19" s="1060" t="s">
        <v>1083</v>
      </c>
      <c r="P19" s="4">
        <v>1.5</v>
      </c>
      <c r="Q19" s="1000">
        <v>1.5</v>
      </c>
      <c r="R19" s="1000">
        <v>2.1</v>
      </c>
      <c r="S19" s="1000">
        <v>1.9</v>
      </c>
      <c r="T19" s="70">
        <v>1.9</v>
      </c>
      <c r="U19" s="1594"/>
      <c r="V19" s="1595"/>
      <c r="X19" s="60"/>
      <c r="Z19" s="12"/>
      <c r="AA19" s="71"/>
      <c r="AB19" s="513"/>
      <c r="AC19" s="71"/>
      <c r="AD19" s="71"/>
      <c r="AE19" s="71"/>
      <c r="AF19" s="71"/>
      <c r="AG19" s="71"/>
      <c r="AH19" s="529"/>
      <c r="AJ19" s="4"/>
      <c r="AK19" s="524" t="s">
        <v>1076</v>
      </c>
      <c r="AL19" s="524" t="s">
        <v>419</v>
      </c>
      <c r="AM19" s="17" t="s">
        <v>1074</v>
      </c>
      <c r="AN19" s="524"/>
      <c r="AO19" s="524"/>
      <c r="AP19" s="524"/>
      <c r="AQ19" s="524"/>
      <c r="AR19" s="524"/>
      <c r="AS19" s="524"/>
      <c r="AT19" s="524"/>
      <c r="AU19" s="524"/>
      <c r="AV19" s="524"/>
      <c r="AW19" s="524"/>
      <c r="AX19" s="524"/>
      <c r="AY19" s="524"/>
      <c r="AZ19" s="524"/>
      <c r="BA19" s="524"/>
      <c r="BB19" s="524"/>
      <c r="BC19" s="524"/>
      <c r="BD19" s="52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4" t="str">
        <f>IF(N26=TRUE,M28&amp;"  мм.","")</f>
        <v/>
      </c>
      <c r="J20" s="1132"/>
      <c r="K20" s="23"/>
      <c r="L20" s="988" t="s">
        <v>88</v>
      </c>
      <c r="M20" s="484">
        <v>80</v>
      </c>
      <c r="N20" s="43"/>
      <c r="O20" s="1118"/>
      <c r="P20" s="1119">
        <f t="shared" ref="P20" si="0">P19*P18</f>
        <v>1.5</v>
      </c>
      <c r="Q20" s="1119">
        <f>Q19*Q18</f>
        <v>1.5</v>
      </c>
      <c r="R20" s="1119">
        <f>R19*R18</f>
        <v>4.2</v>
      </c>
      <c r="S20" s="1119">
        <f t="shared" ref="S20:T20" si="1">S19*S18</f>
        <v>1.9</v>
      </c>
      <c r="T20" s="629">
        <f t="shared" si="1"/>
        <v>1.9</v>
      </c>
      <c r="U20" s="1173">
        <f>SUM(P20:T20)</f>
        <v>11</v>
      </c>
      <c r="V20" s="629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4"/>
      <c r="AL20" s="524" t="s">
        <v>422</v>
      </c>
      <c r="AM20" s="17" t="s">
        <v>1075</v>
      </c>
      <c r="AN20" s="524"/>
      <c r="AO20" s="524"/>
      <c r="AP20" s="524"/>
      <c r="AQ20" s="524"/>
      <c r="AR20" s="524"/>
      <c r="AS20" s="524"/>
      <c r="AT20" s="524"/>
      <c r="AU20" s="524"/>
      <c r="AV20" s="524"/>
      <c r="AW20" s="524"/>
      <c r="AX20" s="524"/>
      <c r="AY20" s="524"/>
      <c r="AZ20" s="524"/>
      <c r="BA20" s="524"/>
      <c r="BB20" s="524"/>
      <c r="BC20" s="524"/>
      <c r="BD20" s="52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32"/>
      <c r="K21" s="23"/>
      <c r="L21" s="989" t="s">
        <v>821</v>
      </c>
      <c r="M21" s="61">
        <v>500</v>
      </c>
      <c r="N21" s="43"/>
      <c r="O21" s="1060"/>
      <c r="P21" s="1067">
        <f>$P20/$U20*$U21/$P$18</f>
        <v>10.309090909090907</v>
      </c>
      <c r="Q21" s="1067">
        <f>$Q20/$U20*$U21/$Q$18</f>
        <v>10.309090909090907</v>
      </c>
      <c r="R21" s="1067">
        <f>$R$20/$U$20*$U21/$R$18</f>
        <v>14.432727272727272</v>
      </c>
      <c r="S21" s="1067">
        <f>$S$20/$U$20*$U21/$S$18</f>
        <v>13.058181818181817</v>
      </c>
      <c r="T21" s="1116">
        <f>$T$20/$U$20*$U21/$T$18</f>
        <v>13.058181818181817</v>
      </c>
      <c r="U21" s="1177">
        <v>75.599999999999994</v>
      </c>
      <c r="V21" s="1169" t="s">
        <v>1071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1077</v>
      </c>
      <c r="AL21" s="524"/>
      <c r="AM21" s="524"/>
      <c r="AN21" s="524"/>
      <c r="AO21" s="524"/>
      <c r="AP21" s="524"/>
      <c r="AQ21" s="524"/>
      <c r="AR21" s="524"/>
      <c r="AS21" s="524"/>
      <c r="AT21" s="524"/>
      <c r="AU21" s="524"/>
      <c r="AV21" s="524"/>
      <c r="AW21" s="524"/>
      <c r="AX21" s="524"/>
      <c r="AY21" s="524"/>
      <c r="AZ21" s="524"/>
      <c r="BA21" s="524"/>
      <c r="BB21" s="524"/>
      <c r="BC21" s="524"/>
      <c r="BD21" s="52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90" t="s">
        <v>822</v>
      </c>
      <c r="M22" s="776">
        <v>20</v>
      </c>
      <c r="N22" s="43"/>
      <c r="O22" s="1060"/>
      <c r="P22" s="1067">
        <f>$P$20/$U$20*$U22/$P$18</f>
        <v>11.127272727272725</v>
      </c>
      <c r="Q22" s="1067">
        <f>$Q$20/$U$20*$U22/$Q$18</f>
        <v>11.127272727272725</v>
      </c>
      <c r="R22" s="1067">
        <f t="shared" ref="R22:R23" si="2">$R$20/$U$20*$U22/$R$18</f>
        <v>15.578181818181818</v>
      </c>
      <c r="S22" s="1067">
        <f t="shared" ref="S22:S23" si="3">$S$20/$U$20*$U22/$S$18</f>
        <v>14.094545454545454</v>
      </c>
      <c r="T22" s="1116">
        <f t="shared" ref="T22:T23" si="4">$T$20/$U$20*$U22/$T$18</f>
        <v>14.094545454545454</v>
      </c>
      <c r="U22" s="1177">
        <v>81.599999999999994</v>
      </c>
      <c r="V22" s="629" t="s">
        <v>1070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1073</v>
      </c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78" t="s">
        <v>823</v>
      </c>
      <c r="M23" s="107">
        <v>5.9</v>
      </c>
      <c r="N23" s="43"/>
      <c r="O23" s="1061"/>
      <c r="P23" s="1068">
        <f>$P$20/$U$20*$U23/$P$18</f>
        <v>11.577272727272728</v>
      </c>
      <c r="Q23" s="1068">
        <f>$Q$20/$U$20*$U23/$Q$18</f>
        <v>11.577272727272728</v>
      </c>
      <c r="R23" s="1068">
        <f t="shared" si="2"/>
        <v>16.208181818181821</v>
      </c>
      <c r="S23" s="1068">
        <f t="shared" si="3"/>
        <v>14.664545454545456</v>
      </c>
      <c r="T23" s="1117">
        <f t="shared" si="4"/>
        <v>14.664545454545456</v>
      </c>
      <c r="U23" s="1066">
        <v>84.9</v>
      </c>
      <c r="V23" s="1178" t="s">
        <v>1040</v>
      </c>
      <c r="Z23" s="4"/>
      <c r="AA23" s="59"/>
      <c r="AB23" s="59"/>
      <c r="AC23" s="59"/>
      <c r="AD23" s="59"/>
      <c r="AE23" s="59"/>
      <c r="AF23" s="59"/>
      <c r="AG23" s="29" t="s">
        <v>1112</v>
      </c>
      <c r="AH23" s="433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236.4</v>
      </c>
      <c r="J24" s="27"/>
      <c r="K24" s="187"/>
      <c r="L24" s="1079"/>
      <c r="M24" s="995">
        <f>M20*M21*M22*M16/1000000</f>
        <v>6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3" t="str">
        <f>"( "&amp;M20&amp;" )"</f>
        <v>( 80 )</v>
      </c>
      <c r="J25" s="433"/>
      <c r="K25" s="187"/>
      <c r="L25" s="43"/>
      <c r="M25" s="43"/>
      <c r="N25" s="43"/>
      <c r="R25" s="1111"/>
      <c r="S25" s="1111"/>
      <c r="T25" s="1111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7"/>
      <c r="L26" s="1005" t="s">
        <v>1086</v>
      </c>
      <c r="M26" s="1007"/>
      <c r="N26" s="1006" t="b">
        <v>0</v>
      </c>
      <c r="P26" s="1600" t="s">
        <v>332</v>
      </c>
      <c r="Q26" s="1601"/>
      <c r="R26" s="1602"/>
      <c r="S26" s="1607">
        <f>R27*R28+R29*R28</f>
        <v>600</v>
      </c>
      <c r="T26" s="1111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7"/>
      <c r="L27" s="608" t="s">
        <v>1084</v>
      </c>
      <c r="M27" s="776">
        <v>735</v>
      </c>
      <c r="N27" s="10"/>
      <c r="P27" s="1603" t="s">
        <v>89</v>
      </c>
      <c r="Q27" s="1604"/>
      <c r="R27" s="1191">
        <v>130</v>
      </c>
      <c r="S27" s="1608"/>
      <c r="T27" s="1111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86"/>
      <c r="AK27" s="342"/>
      <c r="AL27" s="466"/>
      <c r="AM27" s="186"/>
      <c r="AN27" s="186"/>
      <c r="AO27" s="186"/>
      <c r="AP27" s="186"/>
      <c r="AQ27" s="524"/>
      <c r="AR27" s="524"/>
      <c r="AS27" s="524">
        <f>SUM(AL29:BD29)</f>
        <v>560</v>
      </c>
      <c r="AT27" s="524"/>
      <c r="AU27" s="524"/>
      <c r="AV27" s="524"/>
      <c r="AW27" s="524"/>
      <c r="AX27" s="524"/>
      <c r="AY27" s="524"/>
      <c r="AZ27" s="524"/>
      <c r="BA27" s="524"/>
      <c r="BB27" s="52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7"/>
      <c r="L28" s="1129" t="s">
        <v>1085</v>
      </c>
      <c r="M28" s="1130">
        <v>520</v>
      </c>
      <c r="N28" s="1131"/>
      <c r="P28" s="1605" t="s">
        <v>1125</v>
      </c>
      <c r="Q28" s="1606"/>
      <c r="R28" s="1192">
        <v>4</v>
      </c>
      <c r="S28" s="1608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86"/>
      <c r="AK28" s="466"/>
      <c r="AL28" s="466"/>
      <c r="AM28" s="186"/>
      <c r="AN28" s="186"/>
      <c r="AO28" s="186"/>
      <c r="AP28" s="186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7"/>
      <c r="L29" s="43"/>
      <c r="M29" s="43"/>
      <c r="N29" s="43"/>
      <c r="P29" s="1603" t="s">
        <v>1030</v>
      </c>
      <c r="Q29" s="1604"/>
      <c r="R29" s="1193">
        <v>20</v>
      </c>
      <c r="S29" s="1609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4">
        <v>10</v>
      </c>
      <c r="AM29" s="1591">
        <v>550</v>
      </c>
      <c r="AN29" s="1591"/>
      <c r="AO29" s="524"/>
      <c r="AP29" s="59"/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7"/>
      <c r="L30" s="60"/>
      <c r="M30" s="43"/>
      <c r="O30" s="59"/>
      <c r="Y30" s="43"/>
      <c r="Z30" s="1112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80"/>
      <c r="AM30" s="1076"/>
      <c r="AN30" s="1076"/>
      <c r="AO30" s="1081"/>
      <c r="AP30" s="1081"/>
      <c r="AQ30" s="1081"/>
      <c r="AR30" s="1081"/>
      <c r="AS30" s="1081"/>
      <c r="AT30" s="1081"/>
      <c r="AU30" s="1081"/>
      <c r="AV30" s="1081"/>
      <c r="AW30" s="1081"/>
      <c r="AX30" s="1081"/>
      <c r="AY30" s="1081"/>
      <c r="AZ30" s="1081"/>
      <c r="BA30" s="1081"/>
      <c r="BB30" s="1082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7"/>
      <c r="L31" s="187"/>
      <c r="M31" s="59"/>
      <c r="Y31" s="43"/>
      <c r="Z31" s="4"/>
      <c r="AA31" s="59"/>
      <c r="AB31" s="59"/>
      <c r="AC31" s="29" t="s">
        <v>1113</v>
      </c>
      <c r="AD31" s="187"/>
      <c r="AE31" s="35"/>
      <c r="AF31" s="59"/>
      <c r="AG31" s="29"/>
      <c r="AH31" s="27"/>
      <c r="AJ31" s="4"/>
      <c r="AK31" s="59"/>
      <c r="AL31" s="1100"/>
      <c r="AM31" s="1585"/>
      <c r="AN31" s="1586"/>
      <c r="AO31" s="1099"/>
      <c r="AP31" s="186"/>
      <c r="AQ31" s="186"/>
      <c r="AR31" s="186"/>
      <c r="AS31" s="186"/>
      <c r="AT31" s="186"/>
      <c r="AU31" s="186"/>
      <c r="AV31" s="186"/>
      <c r="AW31" s="524"/>
      <c r="AX31" s="524"/>
      <c r="AY31" s="524"/>
      <c r="AZ31" s="524"/>
      <c r="BA31" s="524"/>
      <c r="BB31" s="18"/>
      <c r="BC31" s="59"/>
      <c r="BD31" s="59"/>
      <c r="BE31" s="10"/>
    </row>
    <row r="32" spans="2:57" x14ac:dyDescent="0.3">
      <c r="B32" s="4"/>
      <c r="C32" s="33">
        <f>IF(N26=TRUE,0,L11*0.985)</f>
        <v>0</v>
      </c>
      <c r="D32" s="59"/>
      <c r="E32" s="34">
        <f>IF(N26=FALSE,L4*0.985,M27*0.985)</f>
        <v>723.97500000000002</v>
      </c>
      <c r="F32" s="31"/>
      <c r="G32" s="59"/>
      <c r="H32" s="59"/>
      <c r="I32" s="29"/>
      <c r="J32" s="27"/>
      <c r="K32" s="187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101"/>
      <c r="AM32" s="1102"/>
      <c r="AN32" s="1103"/>
      <c r="AO32" s="1104"/>
      <c r="AP32" s="524"/>
      <c r="AQ32" s="1104"/>
      <c r="AR32" s="524"/>
      <c r="AS32" s="1104"/>
      <c r="AT32" s="524"/>
      <c r="AU32" s="1104"/>
      <c r="AV32" s="524"/>
      <c r="AW32" s="1104"/>
      <c r="AX32" s="524"/>
      <c r="AY32" s="1104"/>
      <c r="AZ32" s="524"/>
      <c r="BA32" s="1104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3" t="str">
        <f>"( "&amp;M21&amp;" )"</f>
        <v>( 500 )</v>
      </c>
      <c r="F33" s="31"/>
      <c r="G33" s="35"/>
      <c r="H33" s="59"/>
      <c r="I33" s="29"/>
      <c r="J33" s="27"/>
      <c r="K33" s="187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100"/>
      <c r="AM33" s="1105">
        <v>1</v>
      </c>
      <c r="AN33" s="1089"/>
      <c r="AO33" s="1105">
        <v>1</v>
      </c>
      <c r="AP33" s="1089"/>
      <c r="AQ33" s="1106">
        <v>2</v>
      </c>
      <c r="AR33" s="1089"/>
      <c r="AS33" s="1106">
        <v>2</v>
      </c>
      <c r="AT33" s="1089"/>
      <c r="AU33" s="1106">
        <v>2</v>
      </c>
      <c r="AV33" s="1090"/>
      <c r="AW33" s="1106">
        <v>2</v>
      </c>
      <c r="AX33" s="1089"/>
      <c r="AY33" s="1098">
        <v>3</v>
      </c>
      <c r="AZ33" s="1089"/>
      <c r="BA33" s="1098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7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101"/>
      <c r="AM34" s="1102"/>
      <c r="AN34" s="524"/>
      <c r="AO34" s="1102"/>
      <c r="AP34" s="524"/>
      <c r="AQ34" s="1102"/>
      <c r="AR34" s="524"/>
      <c r="AS34" s="1102"/>
      <c r="AT34" s="524"/>
      <c r="AU34" s="1102"/>
      <c r="AV34" s="524"/>
      <c r="AW34" s="1102"/>
      <c r="AX34" s="524"/>
      <c r="AY34" s="1102"/>
      <c r="AZ34" s="524"/>
      <c r="BA34" s="1102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7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1117</v>
      </c>
      <c r="AH35" s="27"/>
      <c r="AJ35" s="4"/>
      <c r="AK35" s="59">
        <v>85</v>
      </c>
      <c r="AL35" s="1100"/>
      <c r="AM35" s="1105">
        <v>1</v>
      </c>
      <c r="AN35" s="1089"/>
      <c r="AO35" s="1105">
        <v>1</v>
      </c>
      <c r="AP35" s="1089"/>
      <c r="AQ35" s="1106">
        <v>2</v>
      </c>
      <c r="AR35" s="1089"/>
      <c r="AS35" s="1106">
        <v>2</v>
      </c>
      <c r="AT35" s="1089"/>
      <c r="AU35" s="1106">
        <v>2</v>
      </c>
      <c r="AV35" s="1089"/>
      <c r="AW35" s="1106">
        <v>2</v>
      </c>
      <c r="AX35" s="1089"/>
      <c r="AY35" s="1098">
        <v>3</v>
      </c>
      <c r="AZ35" s="1089"/>
      <c r="BA35" s="1098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7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13"/>
      <c r="AH36" s="24"/>
      <c r="AJ36" s="4"/>
      <c r="AK36" s="59">
        <v>10</v>
      </c>
      <c r="AL36" s="1107"/>
      <c r="AM36" s="1108"/>
      <c r="AN36" s="432"/>
      <c r="AO36" s="1109"/>
      <c r="AP36" s="432"/>
      <c r="AQ36" s="1109"/>
      <c r="AR36" s="432"/>
      <c r="AS36" s="1109"/>
      <c r="AT36" s="432"/>
      <c r="AU36" s="1109"/>
      <c r="AV36" s="432"/>
      <c r="AW36" s="1109"/>
      <c r="AX36" s="432"/>
      <c r="AY36" s="1109"/>
      <c r="AZ36" s="432"/>
      <c r="BA36" s="1109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3" t="str">
        <f>"( "&amp;M22&amp;" )"</f>
        <v>( 20 )</v>
      </c>
      <c r="J37" s="27"/>
      <c r="K37" s="187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4">
        <v>10</v>
      </c>
      <c r="AM37" s="524">
        <v>300</v>
      </c>
      <c r="AN37" s="524">
        <v>20</v>
      </c>
      <c r="AO37" s="524">
        <v>300</v>
      </c>
      <c r="AP37" s="524">
        <v>20</v>
      </c>
      <c r="AQ37" s="524">
        <v>190</v>
      </c>
      <c r="AR37" s="524">
        <v>20</v>
      </c>
      <c r="AS37" s="524">
        <v>130</v>
      </c>
      <c r="AT37" s="524">
        <v>20</v>
      </c>
      <c r="AU37" s="524"/>
      <c r="AV37" s="524"/>
      <c r="AW37" s="524"/>
      <c r="AX37" s="524"/>
      <c r="AY37" s="524"/>
      <c r="AZ37" s="524"/>
      <c r="BA37" s="524"/>
      <c r="BB37" s="52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4"/>
      <c r="AM39" s="524"/>
      <c r="AN39" s="524"/>
      <c r="AO39" s="524"/>
      <c r="AP39" s="524"/>
      <c r="AQ39" s="524"/>
      <c r="AR39" s="524"/>
      <c r="AS39" s="524">
        <f>SUM(AL37:BD37)</f>
        <v>1010</v>
      </c>
      <c r="AT39" s="524"/>
      <c r="AU39" s="524"/>
      <c r="AV39" s="524"/>
      <c r="AW39" s="524"/>
      <c r="AX39" s="524"/>
      <c r="AY39" s="524"/>
      <c r="AZ39" s="524"/>
      <c r="BA39" s="524"/>
      <c r="BB39" s="52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4" t="s">
        <v>60</v>
      </c>
      <c r="AB40" s="434"/>
      <c r="AC40" s="434"/>
      <c r="AD40" s="435" t="s">
        <v>91</v>
      </c>
      <c r="AE40" s="434"/>
      <c r="AF40" s="434"/>
      <c r="AG40" s="434"/>
      <c r="AH40" s="10"/>
      <c r="AJ40" s="4"/>
      <c r="AK40" s="59"/>
      <c r="AL40" s="524"/>
      <c r="AM40" s="524"/>
      <c r="AN40" s="524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4" t="s">
        <v>55</v>
      </c>
      <c r="AB41" s="434"/>
      <c r="AC41" s="434"/>
      <c r="AD41" s="430" t="s">
        <v>56</v>
      </c>
      <c r="AE41" s="434"/>
      <c r="AF41" s="434"/>
      <c r="AG41" s="434"/>
      <c r="AH41" s="10"/>
      <c r="AJ41" s="4"/>
      <c r="AK41" s="59"/>
      <c r="AL41" s="524"/>
      <c r="AM41" s="524"/>
      <c r="AN41" s="524"/>
      <c r="AO41" s="524"/>
      <c r="AP41" s="524"/>
      <c r="AQ41" s="524"/>
      <c r="AR41" s="524"/>
      <c r="AS41" s="524"/>
      <c r="AT41" s="524"/>
      <c r="AU41" s="524"/>
      <c r="AV41" s="524"/>
      <c r="AW41" s="524"/>
      <c r="AX41" s="524"/>
      <c r="AY41" s="524"/>
      <c r="AZ41" s="524"/>
      <c r="BA41" s="524"/>
      <c r="BB41" s="524"/>
      <c r="BC41" s="59"/>
      <c r="BD41" s="59"/>
      <c r="BE41" s="10"/>
    </row>
    <row r="42" spans="2:57" x14ac:dyDescent="0.3">
      <c r="B42" s="4"/>
      <c r="C42" s="434" t="s">
        <v>60</v>
      </c>
      <c r="D42" s="434"/>
      <c r="E42" s="434"/>
      <c r="F42" s="435" t="s">
        <v>91</v>
      </c>
      <c r="G42" s="434"/>
      <c r="H42" s="434"/>
      <c r="I42" s="434"/>
      <c r="J42" s="10"/>
      <c r="K42" s="59"/>
      <c r="L42" s="43"/>
      <c r="M42" s="43"/>
      <c r="Z42" s="4"/>
      <c r="AA42" s="434" t="s">
        <v>946</v>
      </c>
      <c r="AB42" s="434"/>
      <c r="AC42" s="434"/>
      <c r="AD42" s="430" t="s">
        <v>793</v>
      </c>
      <c r="AE42" s="434" t="s">
        <v>92</v>
      </c>
      <c r="AF42" s="434"/>
      <c r="AG42" s="434"/>
      <c r="AH42" s="10"/>
      <c r="AJ42" s="4"/>
      <c r="AK42" s="524" t="s">
        <v>1076</v>
      </c>
      <c r="AL42" s="524" t="s">
        <v>419</v>
      </c>
      <c r="AM42" s="17" t="s">
        <v>1078</v>
      </c>
      <c r="AN42" s="524"/>
      <c r="AO42" s="524"/>
      <c r="AP42" s="524"/>
      <c r="AQ42" s="524"/>
      <c r="AR42" s="524"/>
      <c r="AS42" s="524"/>
      <c r="AT42" s="524"/>
      <c r="AU42" s="524"/>
      <c r="AV42" s="524"/>
      <c r="AW42" s="524"/>
      <c r="AX42" s="524"/>
      <c r="AY42" s="524"/>
      <c r="AZ42" s="524"/>
      <c r="BA42" s="524"/>
      <c r="BB42" s="524"/>
      <c r="BC42" s="59"/>
      <c r="BD42" s="59"/>
      <c r="BE42" s="10"/>
    </row>
    <row r="43" spans="2:57" x14ac:dyDescent="0.3">
      <c r="B43" s="4"/>
      <c r="C43" s="434" t="s">
        <v>55</v>
      </c>
      <c r="D43" s="434"/>
      <c r="E43" s="434"/>
      <c r="F43" s="430" t="s">
        <v>56</v>
      </c>
      <c r="G43" s="434"/>
      <c r="H43" s="434"/>
      <c r="I43" s="434"/>
      <c r="J43" s="10"/>
      <c r="K43" s="59"/>
      <c r="L43" s="43"/>
      <c r="M43" s="43"/>
      <c r="Z43" s="4"/>
      <c r="AA43" s="434" t="s">
        <v>50</v>
      </c>
      <c r="AB43" s="434"/>
      <c r="AC43" s="434"/>
      <c r="AD43" s="430" t="s">
        <v>132</v>
      </c>
      <c r="AE43" s="434"/>
      <c r="AF43" s="434"/>
      <c r="AG43" s="434"/>
      <c r="AH43" s="10"/>
      <c r="AJ43" s="4"/>
      <c r="AK43" s="524"/>
      <c r="AL43" s="524" t="s">
        <v>422</v>
      </c>
      <c r="AM43" s="17" t="s">
        <v>1079</v>
      </c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4"/>
      <c r="BA43" s="524"/>
      <c r="BB43" s="524"/>
      <c r="BC43" s="59"/>
      <c r="BD43" s="59"/>
      <c r="BE43" s="10"/>
    </row>
    <row r="44" spans="2:57" x14ac:dyDescent="0.3">
      <c r="B44" s="4"/>
      <c r="C44" s="434" t="s">
        <v>946</v>
      </c>
      <c r="D44" s="434"/>
      <c r="E44" s="434"/>
      <c r="F44" s="430" t="str">
        <f>IF(L6&lt;50,VLOOKUP(F8,C69:F82,4,FALSE),VLOOKUP(F8,C69:F82,2,FALSE))</f>
        <v>1120-1180</v>
      </c>
      <c r="G44" s="434" t="s">
        <v>92</v>
      </c>
      <c r="H44" s="434"/>
      <c r="I44" s="434"/>
      <c r="J44" s="10"/>
      <c r="K44" s="59"/>
      <c r="L44" s="43"/>
      <c r="M44" s="43"/>
      <c r="Z44" s="4"/>
      <c r="AA44" s="434" t="s">
        <v>52</v>
      </c>
      <c r="AB44" s="434"/>
      <c r="AC44" s="434"/>
      <c r="AD44" s="430" t="s">
        <v>795</v>
      </c>
      <c r="AE44" s="434"/>
      <c r="AF44" s="434"/>
      <c r="AG44" s="434"/>
      <c r="AH44" s="10"/>
      <c r="AJ44" s="4"/>
      <c r="AK44" s="59"/>
      <c r="AL44" s="524" t="s">
        <v>424</v>
      </c>
      <c r="AM44" s="59" t="s">
        <v>1080</v>
      </c>
      <c r="AN44" s="59"/>
      <c r="AO44" s="59"/>
      <c r="AP44" s="59"/>
      <c r="AQ44" s="524"/>
      <c r="AR44" s="524"/>
      <c r="AS44" s="524"/>
      <c r="AT44" s="524"/>
      <c r="AU44" s="524"/>
      <c r="AV44" s="524"/>
      <c r="AW44" s="524"/>
      <c r="AX44" s="524"/>
      <c r="AY44" s="524"/>
      <c r="AZ44" s="524"/>
      <c r="BA44" s="524"/>
      <c r="BB44" s="524"/>
      <c r="BC44" s="59"/>
      <c r="BD44" s="59"/>
      <c r="BE44" s="10"/>
    </row>
    <row r="45" spans="2:57" ht="15" thickBot="1" x14ac:dyDescent="0.35">
      <c r="B45" s="4"/>
      <c r="C45" s="434" t="s">
        <v>50</v>
      </c>
      <c r="D45" s="434"/>
      <c r="E45" s="434"/>
      <c r="F45" s="430" t="str">
        <f>VLOOKUP(F8,Данные!A3:I27,6,FALSE())</f>
        <v>25010.00176</v>
      </c>
      <c r="G45" s="434"/>
      <c r="H45" s="434"/>
      <c r="I45" s="434"/>
      <c r="J45" s="10"/>
      <c r="K45" s="59"/>
      <c r="L45" s="43"/>
      <c r="M45" s="43"/>
      <c r="Z45" s="4"/>
      <c r="AA45" s="434" t="s">
        <v>66</v>
      </c>
      <c r="AB45" s="434"/>
      <c r="AC45" s="430"/>
      <c r="AD45" s="430" t="s">
        <v>67</v>
      </c>
      <c r="AE45" s="434"/>
      <c r="AF45" s="434"/>
      <c r="AG45" s="434"/>
      <c r="AH45" s="10"/>
      <c r="AJ45" s="4"/>
      <c r="AK45" s="17" t="s">
        <v>1077</v>
      </c>
      <c r="AL45" s="524"/>
      <c r="AM45" s="524"/>
      <c r="AN45" s="524"/>
      <c r="AO45" s="524"/>
      <c r="AP45" s="524"/>
      <c r="AQ45" s="52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4" t="s">
        <v>52</v>
      </c>
      <c r="D46" s="434"/>
      <c r="E46" s="434"/>
      <c r="F46" s="430" t="s">
        <v>795</v>
      </c>
      <c r="G46" s="434"/>
      <c r="H46" s="434"/>
      <c r="I46" s="434"/>
      <c r="J46" s="10"/>
      <c r="K46" s="59"/>
      <c r="L46" s="43"/>
      <c r="M46" s="43"/>
      <c r="Z46" s="1512" t="s">
        <v>68</v>
      </c>
      <c r="AA46" s="1587"/>
      <c r="AB46" s="1513"/>
      <c r="AC46" s="436" t="s">
        <v>69</v>
      </c>
      <c r="AD46" s="437" t="s">
        <v>68</v>
      </c>
      <c r="AE46" s="13"/>
      <c r="AF46" s="71" t="s">
        <v>70</v>
      </c>
      <c r="AG46" s="71"/>
      <c r="AH46" s="13"/>
      <c r="AJ46" s="19"/>
      <c r="AK46" s="21" t="s">
        <v>1081</v>
      </c>
      <c r="AL46" s="432"/>
      <c r="AM46" s="432"/>
      <c r="AN46" s="432"/>
      <c r="AO46" s="432"/>
      <c r="AP46" s="432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4" t="s">
        <v>66</v>
      </c>
      <c r="D47" s="434"/>
      <c r="E47" s="430"/>
      <c r="F47" s="430" t="s">
        <v>67</v>
      </c>
      <c r="G47" s="434"/>
      <c r="H47" s="434"/>
      <c r="I47" s="434"/>
      <c r="J47" s="10"/>
      <c r="K47" s="59"/>
      <c r="L47" s="43"/>
      <c r="M47" s="43"/>
      <c r="Z47" s="1588">
        <f ca="1">TODAY()</f>
        <v>45420</v>
      </c>
      <c r="AA47" s="1589"/>
      <c r="AB47" s="1590"/>
      <c r="AC47" s="39"/>
      <c r="AD47" s="1"/>
      <c r="AE47" s="84"/>
      <c r="AF47" s="2"/>
      <c r="AG47" s="2"/>
      <c r="AH47" s="84"/>
    </row>
    <row r="48" spans="2:57" ht="15" thickBot="1" x14ac:dyDescent="0.35">
      <c r="B48" s="1512" t="s">
        <v>68</v>
      </c>
      <c r="C48" s="1587"/>
      <c r="D48" s="1513"/>
      <c r="E48" s="436" t="s">
        <v>69</v>
      </c>
      <c r="F48" s="437" t="s">
        <v>68</v>
      </c>
      <c r="G48" s="13"/>
      <c r="H48" s="71" t="s">
        <v>70</v>
      </c>
      <c r="I48" s="71"/>
      <c r="J48" s="13"/>
      <c r="K48" s="59"/>
      <c r="L48" s="43"/>
      <c r="M48" s="43"/>
      <c r="Z48" s="1512" t="s">
        <v>71</v>
      </c>
      <c r="AA48" s="1587"/>
      <c r="AB48" s="1513"/>
      <c r="AC48" s="21"/>
      <c r="AD48" s="65"/>
      <c r="AE48" s="65"/>
      <c r="AF48" s="65"/>
      <c r="AG48" s="65"/>
      <c r="AH48" s="40"/>
    </row>
    <row r="49" spans="2:13" ht="15" thickBot="1" x14ac:dyDescent="0.35">
      <c r="B49" s="1588">
        <f ca="1">TODAY()</f>
        <v>45420</v>
      </c>
      <c r="C49" s="1589"/>
      <c r="D49" s="1590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512" t="s">
        <v>71</v>
      </c>
      <c r="C50" s="1587"/>
      <c r="D50" s="1513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1087</v>
      </c>
      <c r="F68" t="s">
        <v>1200</v>
      </c>
    </row>
    <row r="69" spans="3:6" x14ac:dyDescent="0.3">
      <c r="C69" s="225" t="s">
        <v>9</v>
      </c>
      <c r="D69" s="43" t="s">
        <v>120</v>
      </c>
      <c r="E69" s="43">
        <v>9.1</v>
      </c>
      <c r="F69" t="s">
        <v>1088</v>
      </c>
    </row>
    <row r="70" spans="3:6" x14ac:dyDescent="0.3">
      <c r="C70" s="225" t="s">
        <v>21</v>
      </c>
      <c r="D70" s="43" t="s">
        <v>130</v>
      </c>
      <c r="E70" s="43">
        <v>8.8800000000000008</v>
      </c>
      <c r="F70" t="s">
        <v>1089</v>
      </c>
    </row>
    <row r="71" spans="3:6" x14ac:dyDescent="0.3">
      <c r="C71" s="225" t="s">
        <v>792</v>
      </c>
      <c r="D71" s="43" t="s">
        <v>130</v>
      </c>
      <c r="E71" s="43">
        <v>8.6999999999999993</v>
      </c>
      <c r="F71" t="s">
        <v>1089</v>
      </c>
    </row>
    <row r="72" spans="3:6" x14ac:dyDescent="0.3">
      <c r="C72" s="225" t="s">
        <v>15</v>
      </c>
      <c r="D72" s="43" t="s">
        <v>130</v>
      </c>
      <c r="E72" s="43">
        <v>8.8800000000000008</v>
      </c>
      <c r="F72" t="s">
        <v>1088</v>
      </c>
    </row>
    <row r="73" spans="3:6" x14ac:dyDescent="0.3">
      <c r="C73" s="225" t="s">
        <v>128</v>
      </c>
      <c r="D73" s="60" t="s">
        <v>793</v>
      </c>
      <c r="E73" s="43">
        <v>7.5</v>
      </c>
      <c r="F73" t="s">
        <v>1090</v>
      </c>
    </row>
    <row r="74" spans="3:6" x14ac:dyDescent="0.3">
      <c r="C74" s="225" t="s">
        <v>37</v>
      </c>
      <c r="D74" s="60" t="s">
        <v>793</v>
      </c>
      <c r="E74" s="43">
        <v>7.5</v>
      </c>
      <c r="F74" s="43" t="s">
        <v>1090</v>
      </c>
    </row>
    <row r="75" spans="3:6" x14ac:dyDescent="0.3">
      <c r="C75" s="225" t="s">
        <v>28</v>
      </c>
      <c r="D75" s="60" t="s">
        <v>793</v>
      </c>
      <c r="E75" s="43">
        <v>7.5</v>
      </c>
      <c r="F75" s="43" t="s">
        <v>1090</v>
      </c>
    </row>
    <row r="76" spans="3:6" x14ac:dyDescent="0.3">
      <c r="C76" s="225" t="s">
        <v>33</v>
      </c>
      <c r="D76" s="60" t="s">
        <v>793</v>
      </c>
      <c r="E76" s="43">
        <v>8.1</v>
      </c>
      <c r="F76" t="s">
        <v>1090</v>
      </c>
    </row>
    <row r="77" spans="3:6" x14ac:dyDescent="0.3">
      <c r="C77" s="225" t="s">
        <v>31</v>
      </c>
      <c r="D77" s="60" t="s">
        <v>793</v>
      </c>
      <c r="E77" s="43">
        <v>7.8</v>
      </c>
      <c r="F77" t="s">
        <v>1090</v>
      </c>
    </row>
    <row r="78" spans="3:6" ht="15.6" x14ac:dyDescent="0.3">
      <c r="C78" s="231" t="s">
        <v>39</v>
      </c>
      <c r="D78" s="60" t="s">
        <v>793</v>
      </c>
      <c r="E78" s="43">
        <v>7.8</v>
      </c>
      <c r="F78" t="s">
        <v>1090</v>
      </c>
    </row>
    <row r="79" spans="3:6" ht="15.6" x14ac:dyDescent="0.3">
      <c r="C79" s="231" t="s">
        <v>35</v>
      </c>
      <c r="D79" s="60" t="s">
        <v>793</v>
      </c>
      <c r="E79" s="43">
        <v>7.6</v>
      </c>
      <c r="F79" t="s">
        <v>1090</v>
      </c>
    </row>
    <row r="80" spans="3:6" x14ac:dyDescent="0.3">
      <c r="C80" s="225" t="s">
        <v>134</v>
      </c>
      <c r="D80" s="60" t="s">
        <v>135</v>
      </c>
      <c r="E80" s="43">
        <v>8.5</v>
      </c>
      <c r="F80" t="s">
        <v>135</v>
      </c>
    </row>
    <row r="81" spans="3:6" x14ac:dyDescent="0.3">
      <c r="C81" s="225" t="s">
        <v>137</v>
      </c>
      <c r="D81" s="60" t="s">
        <v>794</v>
      </c>
      <c r="E81" s="43">
        <v>8.5</v>
      </c>
      <c r="F81" t="s">
        <v>1091</v>
      </c>
    </row>
    <row r="82" spans="3:6" x14ac:dyDescent="0.3">
      <c r="C82" s="225" t="s">
        <v>142</v>
      </c>
      <c r="D82" s="60" t="s">
        <v>794</v>
      </c>
      <c r="E82" s="43">
        <v>8.5</v>
      </c>
      <c r="F82" t="s">
        <v>1092</v>
      </c>
    </row>
  </sheetData>
  <mergeCells count="17"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  <mergeCell ref="AM31:AN31"/>
    <mergeCell ref="Z46:AB46"/>
    <mergeCell ref="Z47:AB47"/>
    <mergeCell ref="Z48:AB48"/>
    <mergeCell ref="Q16:U16"/>
    <mergeCell ref="AM29:AN29"/>
    <mergeCell ref="U18:V1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3"/>
      <c r="C2" s="704"/>
      <c r="D2" s="704"/>
      <c r="E2" s="704"/>
      <c r="F2" s="704"/>
      <c r="G2" s="704"/>
      <c r="H2" s="704"/>
      <c r="I2" s="704"/>
      <c r="J2" s="704"/>
      <c r="K2" s="704"/>
      <c r="L2" s="705"/>
      <c r="M2" s="43"/>
      <c r="N2" s="389" t="s">
        <v>938</v>
      </c>
    </row>
    <row r="3" spans="1:14" x14ac:dyDescent="0.3">
      <c r="A3" s="43"/>
      <c r="B3" s="706"/>
      <c r="C3" s="12"/>
      <c r="D3" s="71"/>
      <c r="E3" s="71"/>
      <c r="F3" s="71"/>
      <c r="G3" s="71"/>
      <c r="H3" s="71"/>
      <c r="I3" s="71"/>
      <c r="J3" s="71"/>
      <c r="K3" s="13"/>
      <c r="L3" s="707"/>
      <c r="M3" s="43"/>
      <c r="N3" s="751" t="s">
        <v>937</v>
      </c>
    </row>
    <row r="4" spans="1:14" ht="18" x14ac:dyDescent="0.35">
      <c r="A4" s="43"/>
      <c r="B4" s="706"/>
      <c r="C4" s="4"/>
      <c r="D4" s="1613" t="s">
        <v>831</v>
      </c>
      <c r="E4" s="1613"/>
      <c r="F4" s="1613"/>
      <c r="G4" s="1613"/>
      <c r="H4" s="1613"/>
      <c r="I4" s="1613"/>
      <c r="J4" s="1613"/>
      <c r="K4" s="10"/>
      <c r="L4" s="707"/>
      <c r="M4" s="43"/>
      <c r="N4" s="775" t="s">
        <v>281</v>
      </c>
    </row>
    <row r="5" spans="1:14" ht="15.6" x14ac:dyDescent="0.3">
      <c r="A5" s="43"/>
      <c r="B5" s="706"/>
      <c r="C5" s="708"/>
      <c r="D5" s="1614" t="s">
        <v>878</v>
      </c>
      <c r="E5" s="1614"/>
      <c r="F5" s="1614"/>
      <c r="G5" s="1614"/>
      <c r="H5" s="1614"/>
      <c r="I5" s="1614"/>
      <c r="J5" s="1614"/>
      <c r="K5" s="709"/>
      <c r="L5" s="707"/>
      <c r="M5" s="43"/>
      <c r="N5" s="1047" t="s">
        <v>1105</v>
      </c>
    </row>
    <row r="6" spans="1:14" ht="15.6" x14ac:dyDescent="0.3">
      <c r="A6" s="43"/>
      <c r="B6" s="706"/>
      <c r="C6" s="708"/>
      <c r="D6" s="1614" t="s">
        <v>879</v>
      </c>
      <c r="E6" s="1614"/>
      <c r="F6" s="1614"/>
      <c r="G6" s="1614"/>
      <c r="H6" s="1614"/>
      <c r="I6" s="1614"/>
      <c r="J6" s="1614"/>
      <c r="K6" s="709"/>
      <c r="L6" s="707"/>
      <c r="M6" s="43"/>
      <c r="N6" s="43"/>
    </row>
    <row r="7" spans="1:14" ht="15.6" x14ac:dyDescent="0.3">
      <c r="A7" s="43"/>
      <c r="B7" s="706"/>
      <c r="C7" s="708"/>
      <c r="D7" s="699"/>
      <c r="E7" s="699"/>
      <c r="F7" s="699"/>
      <c r="G7" s="699"/>
      <c r="H7" s="699"/>
      <c r="I7" s="699"/>
      <c r="J7" s="710"/>
      <c r="K7" s="709"/>
      <c r="L7" s="707"/>
      <c r="M7" s="43"/>
      <c r="N7" s="43"/>
    </row>
    <row r="8" spans="1:14" ht="15.6" x14ac:dyDescent="0.3">
      <c r="A8" s="43"/>
      <c r="B8" s="706"/>
      <c r="C8" s="708"/>
      <c r="D8" s="699"/>
      <c r="E8" s="699"/>
      <c r="F8" s="699"/>
      <c r="G8" s="699"/>
      <c r="H8" s="699"/>
      <c r="I8" s="699"/>
      <c r="J8" s="710"/>
      <c r="K8" s="709"/>
      <c r="L8" s="707"/>
      <c r="M8" s="43"/>
      <c r="N8" s="43"/>
    </row>
    <row r="9" spans="1:14" ht="15.6" x14ac:dyDescent="0.3">
      <c r="A9" s="43"/>
      <c r="B9" s="706"/>
      <c r="C9" s="708"/>
      <c r="D9" s="699"/>
      <c r="E9" s="699"/>
      <c r="F9" s="699"/>
      <c r="G9" s="699"/>
      <c r="H9" s="699"/>
      <c r="I9" s="699"/>
      <c r="J9" s="710"/>
      <c r="K9" s="709"/>
      <c r="L9" s="707"/>
      <c r="M9" s="43"/>
      <c r="N9" s="43"/>
    </row>
    <row r="10" spans="1:14" ht="15.6" x14ac:dyDescent="0.3">
      <c r="A10" s="43"/>
      <c r="B10" s="706"/>
      <c r="C10" s="708"/>
      <c r="D10" s="645"/>
      <c r="E10" s="645"/>
      <c r="F10" s="645"/>
      <c r="G10" s="645"/>
      <c r="H10" s="645"/>
      <c r="I10" s="645"/>
      <c r="J10" s="711"/>
      <c r="K10" s="709"/>
      <c r="L10" s="707"/>
      <c r="M10" s="43"/>
      <c r="N10" s="43"/>
    </row>
    <row r="11" spans="1:14" ht="15.6" x14ac:dyDescent="0.3">
      <c r="A11" s="43"/>
      <c r="B11" s="706"/>
      <c r="C11" s="712">
        <v>1</v>
      </c>
      <c r="D11" s="645" t="s">
        <v>880</v>
      </c>
      <c r="E11" s="1151" t="s">
        <v>1256</v>
      </c>
      <c r="F11" s="645"/>
      <c r="G11" s="645"/>
      <c r="H11" s="645" t="s">
        <v>881</v>
      </c>
      <c r="I11" s="1033" t="s">
        <v>1254</v>
      </c>
      <c r="J11" s="711"/>
      <c r="K11" s="709"/>
      <c r="L11" s="707"/>
      <c r="M11" s="43"/>
      <c r="N11" s="43"/>
    </row>
    <row r="12" spans="1:14" ht="15.6" x14ac:dyDescent="0.3">
      <c r="A12" s="43"/>
      <c r="B12" s="706"/>
      <c r="C12" s="712"/>
      <c r="D12" s="645"/>
      <c r="E12" s="673"/>
      <c r="F12" s="645"/>
      <c r="G12" s="645"/>
      <c r="H12" s="645"/>
      <c r="I12" s="673"/>
      <c r="J12" s="711"/>
      <c r="K12" s="709"/>
      <c r="L12" s="707"/>
      <c r="M12" s="43"/>
      <c r="N12" s="43"/>
    </row>
    <row r="13" spans="1:14" ht="15.6" x14ac:dyDescent="0.3">
      <c r="A13" s="43"/>
      <c r="B13" s="706"/>
      <c r="C13" s="712"/>
      <c r="D13" s="645"/>
      <c r="E13" s="673"/>
      <c r="F13" s="645"/>
      <c r="G13" s="645"/>
      <c r="H13" s="645" t="s">
        <v>882</v>
      </c>
      <c r="I13" s="713" t="s">
        <v>1255</v>
      </c>
      <c r="J13" s="711"/>
      <c r="K13" s="709"/>
      <c r="L13" s="707"/>
      <c r="M13" s="43"/>
      <c r="N13" s="43"/>
    </row>
    <row r="14" spans="1:14" ht="15.6" x14ac:dyDescent="0.3">
      <c r="A14" s="43"/>
      <c r="B14" s="706"/>
      <c r="C14" s="712"/>
      <c r="D14" s="645"/>
      <c r="E14" s="673"/>
      <c r="F14" s="645"/>
      <c r="G14" s="645"/>
      <c r="H14" s="645"/>
      <c r="I14" s="673"/>
      <c r="J14" s="711"/>
      <c r="K14" s="709"/>
      <c r="L14" s="707"/>
      <c r="M14" s="43"/>
      <c r="N14" s="43"/>
    </row>
    <row r="15" spans="1:14" ht="15.6" x14ac:dyDescent="0.3">
      <c r="A15" s="43"/>
      <c r="B15" s="706"/>
      <c r="C15" s="712">
        <v>2</v>
      </c>
      <c r="D15" s="645" t="s">
        <v>6</v>
      </c>
      <c r="E15" s="713" t="s">
        <v>7</v>
      </c>
      <c r="F15" s="645"/>
      <c r="G15" s="645"/>
      <c r="H15" s="645" t="s">
        <v>883</v>
      </c>
      <c r="I15" s="645"/>
      <c r="J15" s="714" t="s">
        <v>820</v>
      </c>
      <c r="K15" s="709" t="s">
        <v>884</v>
      </c>
      <c r="L15" s="707"/>
      <c r="M15" s="43"/>
      <c r="N15" s="43"/>
    </row>
    <row r="16" spans="1:14" ht="15.6" x14ac:dyDescent="0.3">
      <c r="A16" s="43"/>
      <c r="B16" s="706"/>
      <c r="C16" s="712"/>
      <c r="D16" s="645"/>
      <c r="E16" s="673"/>
      <c r="F16" s="645"/>
      <c r="G16" s="645"/>
      <c r="H16" s="645"/>
      <c r="I16" s="645"/>
      <c r="J16" s="711"/>
      <c r="K16" s="709"/>
      <c r="L16" s="707"/>
      <c r="M16" s="43"/>
      <c r="N16" s="43"/>
    </row>
    <row r="17" spans="1:14" ht="15.6" x14ac:dyDescent="0.3">
      <c r="A17" s="43"/>
      <c r="B17" s="706"/>
      <c r="C17" s="712">
        <v>3</v>
      </c>
      <c r="D17" s="645" t="s">
        <v>885</v>
      </c>
      <c r="E17" s="645"/>
      <c r="F17" s="678" t="s">
        <v>886</v>
      </c>
      <c r="G17" s="715">
        <v>635</v>
      </c>
      <c r="H17" s="645" t="s">
        <v>887</v>
      </c>
      <c r="I17" s="715">
        <v>540</v>
      </c>
      <c r="J17" s="716" t="s">
        <v>888</v>
      </c>
      <c r="K17" s="10"/>
      <c r="L17" s="707"/>
      <c r="M17" s="43"/>
      <c r="N17" s="43"/>
    </row>
    <row r="18" spans="1:14" ht="15.6" x14ac:dyDescent="0.3">
      <c r="A18" s="43"/>
      <c r="B18" s="706"/>
      <c r="C18" s="712"/>
      <c r="D18" s="645" t="s">
        <v>889</v>
      </c>
      <c r="E18" s="715" t="s">
        <v>1257</v>
      </c>
      <c r="F18" s="645"/>
      <c r="G18" s="645"/>
      <c r="H18" s="645"/>
      <c r="I18" s="645"/>
      <c r="J18" s="711"/>
      <c r="K18" s="709"/>
      <c r="L18" s="707"/>
      <c r="M18" s="43"/>
      <c r="N18" s="43"/>
    </row>
    <row r="19" spans="1:14" ht="15.6" x14ac:dyDescent="0.3">
      <c r="A19" s="43"/>
      <c r="B19" s="706"/>
      <c r="C19" s="712"/>
      <c r="D19" s="645"/>
      <c r="E19" s="675"/>
      <c r="F19" s="43"/>
      <c r="G19" s="43"/>
      <c r="H19" s="717"/>
      <c r="I19" s="645"/>
      <c r="J19" s="711"/>
      <c r="K19" s="709"/>
      <c r="L19" s="707"/>
      <c r="M19" s="43"/>
      <c r="N19" s="43"/>
    </row>
    <row r="20" spans="1:14" ht="15.6" x14ac:dyDescent="0.3">
      <c r="A20" s="43"/>
      <c r="B20" s="706"/>
      <c r="C20" s="712">
        <v>4</v>
      </c>
      <c r="D20" s="645" t="s">
        <v>890</v>
      </c>
      <c r="E20" s="715">
        <v>390</v>
      </c>
      <c r="F20" s="645" t="s">
        <v>891</v>
      </c>
      <c r="G20" s="718">
        <v>29</v>
      </c>
      <c r="H20" s="645" t="s">
        <v>1165</v>
      </c>
      <c r="I20" s="1258"/>
      <c r="J20" s="711"/>
      <c r="K20" s="709"/>
      <c r="L20" s="707"/>
      <c r="M20" s="43"/>
      <c r="N20" s="43"/>
    </row>
    <row r="21" spans="1:14" ht="15.6" x14ac:dyDescent="0.3">
      <c r="A21" s="43"/>
      <c r="B21" s="706"/>
      <c r="C21" s="712"/>
      <c r="D21" s="645"/>
      <c r="E21" s="645"/>
      <c r="F21" s="674"/>
      <c r="G21" s="645"/>
      <c r="H21" s="674"/>
      <c r="I21" s="678"/>
      <c r="J21" s="711"/>
      <c r="K21" s="709"/>
      <c r="L21" s="707"/>
      <c r="M21" s="43"/>
      <c r="N21" s="43"/>
    </row>
    <row r="22" spans="1:14" ht="15.6" x14ac:dyDescent="0.3">
      <c r="A22" s="43"/>
      <c r="B22" s="706"/>
      <c r="C22" s="712">
        <v>5</v>
      </c>
      <c r="D22" s="645" t="s">
        <v>892</v>
      </c>
      <c r="E22" s="675" t="s">
        <v>893</v>
      </c>
      <c r="F22" s="645" t="s">
        <v>894</v>
      </c>
      <c r="G22" s="699" t="s">
        <v>893</v>
      </c>
      <c r="H22" s="645" t="s">
        <v>891</v>
      </c>
      <c r="I22" s="645"/>
      <c r="J22" s="719" t="s">
        <v>893</v>
      </c>
      <c r="K22" s="709"/>
      <c r="L22" s="707"/>
      <c r="M22" s="43"/>
      <c r="N22" s="43"/>
    </row>
    <row r="23" spans="1:14" ht="15.6" x14ac:dyDescent="0.3">
      <c r="A23" s="43"/>
      <c r="B23" s="706"/>
      <c r="C23" s="712"/>
      <c r="D23" s="645"/>
      <c r="E23" s="675"/>
      <c r="F23" s="645"/>
      <c r="G23" s="699"/>
      <c r="H23" s="645"/>
      <c r="I23" s="645"/>
      <c r="J23" s="719"/>
      <c r="K23" s="709"/>
      <c r="L23" s="707"/>
      <c r="M23" s="43"/>
      <c r="N23" s="43"/>
    </row>
    <row r="24" spans="1:14" ht="15.6" x14ac:dyDescent="0.3">
      <c r="A24" s="43"/>
      <c r="B24" s="706"/>
      <c r="C24" s="712">
        <v>6</v>
      </c>
      <c r="D24" s="720" t="s">
        <v>895</v>
      </c>
      <c r="E24" s="720"/>
      <c r="F24" s="721">
        <f>I17</f>
        <v>540</v>
      </c>
      <c r="G24" s="645"/>
      <c r="H24" s="645"/>
      <c r="I24" s="645"/>
      <c r="J24" s="711"/>
      <c r="K24" s="709"/>
      <c r="L24" s="707"/>
      <c r="M24" s="43"/>
      <c r="N24" s="43"/>
    </row>
    <row r="25" spans="1:14" ht="15.6" x14ac:dyDescent="0.3">
      <c r="A25" s="43"/>
      <c r="B25" s="706"/>
      <c r="C25" s="712"/>
      <c r="D25" s="1615" t="s">
        <v>896</v>
      </c>
      <c r="E25" s="1616"/>
      <c r="F25" s="750">
        <v>890</v>
      </c>
      <c r="G25" s="674"/>
      <c r="H25" s="645"/>
      <c r="I25" s="645"/>
      <c r="J25" s="711"/>
      <c r="K25" s="709"/>
      <c r="L25" s="707"/>
      <c r="M25" s="43"/>
      <c r="N25" s="43"/>
    </row>
    <row r="26" spans="1:14" ht="15.6" x14ac:dyDescent="0.3">
      <c r="A26" s="43"/>
      <c r="B26" s="706"/>
      <c r="C26" s="712"/>
      <c r="D26" s="1617" t="s">
        <v>897</v>
      </c>
      <c r="E26" s="1618"/>
      <c r="F26" s="721">
        <v>230</v>
      </c>
      <c r="G26" s="674"/>
      <c r="H26" s="645"/>
      <c r="I26" s="645"/>
      <c r="J26" s="711"/>
      <c r="K26" s="709"/>
      <c r="L26" s="707"/>
      <c r="M26" s="43"/>
      <c r="N26" s="43"/>
    </row>
    <row r="27" spans="1:14" ht="15.6" x14ac:dyDescent="0.3">
      <c r="A27" s="43"/>
      <c r="B27" s="706"/>
      <c r="C27" s="712"/>
      <c r="D27" s="1619" t="s">
        <v>1238</v>
      </c>
      <c r="E27" s="1620"/>
      <c r="F27" s="722">
        <v>657.5</v>
      </c>
      <c r="G27" s="723"/>
      <c r="H27" s="711"/>
      <c r="I27" s="711"/>
      <c r="J27" s="711"/>
      <c r="K27" s="709"/>
      <c r="L27" s="707"/>
      <c r="M27" s="43"/>
      <c r="N27" s="43"/>
    </row>
    <row r="28" spans="1:14" ht="15.6" x14ac:dyDescent="0.3">
      <c r="A28" s="43"/>
      <c r="B28" s="706"/>
      <c r="C28" s="712"/>
      <c r="D28" s="1619" t="s">
        <v>1173</v>
      </c>
      <c r="E28" s="1620"/>
      <c r="F28" s="722">
        <v>43</v>
      </c>
      <c r="G28" s="723"/>
      <c r="H28" s="711"/>
      <c r="I28" s="711"/>
      <c r="J28" s="711"/>
      <c r="K28" s="709"/>
      <c r="L28" s="707"/>
      <c r="M28" s="43"/>
      <c r="N28" s="43"/>
    </row>
    <row r="29" spans="1:14" ht="15.6" x14ac:dyDescent="0.3">
      <c r="A29" s="43"/>
      <c r="B29" s="706"/>
      <c r="C29" s="712"/>
      <c r="D29" s="184"/>
      <c r="E29" s="711"/>
      <c r="F29" s="719"/>
      <c r="G29" s="723"/>
      <c r="H29" s="724"/>
      <c r="I29" s="711"/>
      <c r="J29" s="711"/>
      <c r="K29" s="709"/>
      <c r="L29" s="707"/>
      <c r="M29" s="43"/>
      <c r="N29" s="43"/>
    </row>
    <row r="30" spans="1:14" ht="15.6" x14ac:dyDescent="0.3">
      <c r="A30" s="43"/>
      <c r="B30" s="706"/>
      <c r="C30" s="712">
        <v>7</v>
      </c>
      <c r="D30" s="725" t="s">
        <v>898</v>
      </c>
      <c r="E30" s="725"/>
      <c r="F30" s="725"/>
      <c r="G30" s="725"/>
      <c r="H30" s="725"/>
      <c r="I30" s="725"/>
      <c r="J30" s="725"/>
      <c r="K30" s="709"/>
      <c r="L30" s="707"/>
      <c r="M30" s="43"/>
      <c r="N30" s="43"/>
    </row>
    <row r="31" spans="1:14" ht="15.6" x14ac:dyDescent="0.3">
      <c r="A31" s="43"/>
      <c r="B31" s="706"/>
      <c r="C31" s="708"/>
      <c r="D31" s="139" t="s">
        <v>899</v>
      </c>
      <c r="E31" s="726">
        <f>F27*0.99</f>
        <v>650.92499999999995</v>
      </c>
      <c r="F31" s="727"/>
      <c r="G31" s="727"/>
      <c r="H31" s="727"/>
      <c r="I31" s="727"/>
      <c r="J31" s="727"/>
      <c r="K31" s="709"/>
      <c r="L31" s="707"/>
      <c r="M31" s="43"/>
      <c r="N31" s="43"/>
    </row>
    <row r="32" spans="1:14" ht="15.6" x14ac:dyDescent="0.3">
      <c r="A32" s="43"/>
      <c r="B32" s="706"/>
      <c r="C32" s="712"/>
      <c r="D32" s="728" t="s">
        <v>261</v>
      </c>
      <c r="E32" s="726">
        <f>F28*0.985</f>
        <v>42.354999999999997</v>
      </c>
      <c r="F32" s="727"/>
      <c r="G32" s="727"/>
      <c r="H32" s="727"/>
      <c r="I32" s="727"/>
      <c r="J32" s="727"/>
      <c r="K32" s="709"/>
      <c r="L32" s="707"/>
      <c r="M32" s="43"/>
      <c r="N32" s="43"/>
    </row>
    <row r="33" spans="1:14" ht="15.6" x14ac:dyDescent="0.3">
      <c r="A33" s="43"/>
      <c r="B33" s="706"/>
      <c r="C33" s="708"/>
      <c r="D33" s="139" t="s">
        <v>900</v>
      </c>
      <c r="E33" s="726">
        <f>G17*0.99</f>
        <v>628.65</v>
      </c>
      <c r="F33" s="711"/>
      <c r="G33" s="711"/>
      <c r="H33" s="711"/>
      <c r="I33" s="711"/>
      <c r="J33" s="711"/>
      <c r="K33" s="709"/>
      <c r="L33" s="707"/>
      <c r="M33" s="43"/>
      <c r="N33" s="43"/>
    </row>
    <row r="34" spans="1:14" ht="15.6" x14ac:dyDescent="0.3">
      <c r="A34" s="43"/>
      <c r="B34" s="706"/>
      <c r="C34" s="708"/>
      <c r="D34" s="139" t="s">
        <v>901</v>
      </c>
      <c r="E34" s="729">
        <v>420</v>
      </c>
      <c r="F34" s="711"/>
      <c r="G34" s="711"/>
      <c r="H34" s="719"/>
      <c r="I34" s="711"/>
      <c r="J34" s="711"/>
      <c r="K34" s="709"/>
      <c r="L34" s="707"/>
      <c r="M34" s="43"/>
      <c r="N34" s="43"/>
    </row>
    <row r="35" spans="1:14" ht="15.6" x14ac:dyDescent="0.3">
      <c r="A35" s="43"/>
      <c r="B35" s="706"/>
      <c r="C35" s="708"/>
      <c r="D35" s="139" t="s">
        <v>902</v>
      </c>
      <c r="E35" s="726">
        <f>E34*1.03</f>
        <v>432.6</v>
      </c>
      <c r="F35" s="711"/>
      <c r="G35" s="711"/>
      <c r="H35" s="719"/>
      <c r="I35" s="711"/>
      <c r="J35" s="711"/>
      <c r="K35" s="709"/>
      <c r="L35" s="707"/>
      <c r="M35" s="43"/>
      <c r="N35" s="43"/>
    </row>
    <row r="36" spans="1:14" ht="15.6" x14ac:dyDescent="0.3">
      <c r="A36" s="43"/>
      <c r="B36" s="706"/>
      <c r="C36" s="708"/>
      <c r="D36" s="139" t="s">
        <v>903</v>
      </c>
      <c r="E36" s="726">
        <f>(I17+F28)*0.99</f>
        <v>577.16999999999996</v>
      </c>
      <c r="F36" s="730"/>
      <c r="G36" s="711"/>
      <c r="H36" s="711"/>
      <c r="I36" s="711"/>
      <c r="J36" s="711"/>
      <c r="K36" s="709"/>
      <c r="L36" s="707"/>
      <c r="M36" s="43"/>
      <c r="N36" s="43"/>
    </row>
    <row r="37" spans="1:14" ht="15.6" x14ac:dyDescent="0.3">
      <c r="A37" s="43"/>
      <c r="B37" s="706"/>
      <c r="C37" s="708"/>
      <c r="D37" s="711"/>
      <c r="E37" s="731"/>
      <c r="F37" s="711"/>
      <c r="G37" s="711"/>
      <c r="H37" s="731"/>
      <c r="I37" s="711"/>
      <c r="J37" s="711"/>
      <c r="K37" s="709"/>
      <c r="L37" s="707"/>
      <c r="M37" s="43"/>
      <c r="N37" s="43"/>
    </row>
    <row r="38" spans="1:14" ht="15.6" x14ac:dyDescent="0.3">
      <c r="A38" s="43"/>
      <c r="B38" s="706"/>
      <c r="C38" s="712">
        <v>8</v>
      </c>
      <c r="D38" s="711" t="s">
        <v>904</v>
      </c>
      <c r="E38" s="711"/>
      <c r="F38" s="732">
        <f>3.1415926*(E33*E33-E34*E34)*E74*E36/4000000/J39+3.1415926*(E31*E31-E33*E33)*E74*E32/4000000/J39</f>
        <v>889.17544661821103</v>
      </c>
      <c r="G38" s="711" t="s">
        <v>905</v>
      </c>
      <c r="H38" s="711"/>
      <c r="I38" s="733">
        <f>F38</f>
        <v>889.17544661821103</v>
      </c>
      <c r="J38" s="711"/>
      <c r="K38" s="709"/>
      <c r="L38" s="707"/>
      <c r="M38" s="43"/>
      <c r="N38" s="43"/>
    </row>
    <row r="39" spans="1:14" ht="15.6" x14ac:dyDescent="0.3">
      <c r="A39" s="43"/>
      <c r="B39" s="706"/>
      <c r="C39" s="708"/>
      <c r="D39" s="43"/>
      <c r="E39" s="711" t="s">
        <v>906</v>
      </c>
      <c r="F39" s="734">
        <f>I38*1.04</f>
        <v>924.74246448293945</v>
      </c>
      <c r="G39" s="711" t="s">
        <v>907</v>
      </c>
      <c r="H39" s="711"/>
      <c r="I39" s="711"/>
      <c r="J39" s="715">
        <v>1</v>
      </c>
      <c r="K39" s="709"/>
      <c r="L39" s="707"/>
      <c r="M39" s="43"/>
      <c r="N39" s="43"/>
    </row>
    <row r="40" spans="1:14" ht="15.6" x14ac:dyDescent="0.3">
      <c r="A40" s="43"/>
      <c r="B40" s="706"/>
      <c r="C40" s="708"/>
      <c r="D40" s="711" t="s">
        <v>908</v>
      </c>
      <c r="E40" s="711"/>
      <c r="F40" s="734">
        <f>F39*J39</f>
        <v>924.74246448293945</v>
      </c>
      <c r="G40" s="711"/>
      <c r="H40" s="711"/>
      <c r="I40" s="711"/>
      <c r="J40" s="719"/>
      <c r="K40" s="709"/>
      <c r="L40" s="707"/>
      <c r="M40" s="43"/>
      <c r="N40" s="43"/>
    </row>
    <row r="41" spans="1:14" ht="15.6" x14ac:dyDescent="0.3">
      <c r="A41" s="43"/>
      <c r="B41" s="706"/>
      <c r="C41" s="708"/>
      <c r="D41" s="711"/>
      <c r="E41" s="711"/>
      <c r="F41" s="734"/>
      <c r="G41" s="711"/>
      <c r="H41" s="711"/>
      <c r="I41" s="711"/>
      <c r="J41" s="719"/>
      <c r="K41" s="709"/>
      <c r="L41" s="707"/>
      <c r="M41" s="43"/>
      <c r="N41" s="43"/>
    </row>
    <row r="42" spans="1:14" ht="15.6" x14ac:dyDescent="0.3">
      <c r="A42" s="43"/>
      <c r="B42" s="706"/>
      <c r="C42" s="708"/>
      <c r="D42" s="1621" t="str">
        <f>IF(E34-E20&gt;20,D73&amp;E73&amp;F73,"")</f>
        <v>Металл в ковш сливать по показаниям тензодатчиков печи FS-30. Всего 900 кг.</v>
      </c>
      <c r="E42" s="1621"/>
      <c r="F42" s="1621"/>
      <c r="G42" s="1621"/>
      <c r="H42" s="1621"/>
      <c r="I42" s="1621"/>
      <c r="J42" s="1621"/>
      <c r="K42" s="1622"/>
      <c r="L42" s="707"/>
      <c r="M42" s="43"/>
      <c r="N42" s="43"/>
    </row>
    <row r="43" spans="1:14" ht="15.6" x14ac:dyDescent="0.3">
      <c r="A43" s="43"/>
      <c r="B43" s="706"/>
      <c r="C43" s="708"/>
      <c r="D43" s="1621"/>
      <c r="E43" s="1621"/>
      <c r="F43" s="1621"/>
      <c r="G43" s="1621"/>
      <c r="H43" s="1621"/>
      <c r="I43" s="1621"/>
      <c r="J43" s="1621"/>
      <c r="K43" s="1622"/>
      <c r="L43" s="707"/>
      <c r="M43" s="43"/>
      <c r="N43" s="43"/>
    </row>
    <row r="44" spans="1:14" ht="21" x14ac:dyDescent="0.4">
      <c r="A44" s="43"/>
      <c r="B44" s="706"/>
      <c r="C44" s="708"/>
      <c r="D44" s="735"/>
      <c r="E44" s="735"/>
      <c r="F44" s="735"/>
      <c r="G44" s="735"/>
      <c r="H44" s="735"/>
      <c r="I44" s="735"/>
      <c r="J44" s="735"/>
      <c r="K44" s="709"/>
      <c r="L44" s="707"/>
      <c r="M44" s="43"/>
      <c r="N44" s="43"/>
    </row>
    <row r="45" spans="1:14" ht="15.6" x14ac:dyDescent="0.3">
      <c r="A45" s="43"/>
      <c r="B45" s="706"/>
      <c r="C45" s="712">
        <v>9</v>
      </c>
      <c r="D45" s="711" t="s">
        <v>909</v>
      </c>
      <c r="E45" s="711"/>
      <c r="F45" s="736" t="str">
        <f>VLOOKUP(E47,Данные!A3:F22,6,FALSE())&amp;", ТИ 25012.00014"</f>
        <v>25010.00174, ТИ 25012.00014</v>
      </c>
      <c r="G45" s="711"/>
      <c r="H45" s="711"/>
      <c r="I45" s="711"/>
      <c r="J45" s="711"/>
      <c r="K45" s="709"/>
      <c r="L45" s="707"/>
      <c r="M45" s="43"/>
      <c r="N45" s="43"/>
    </row>
    <row r="46" spans="1:14" ht="15.6" x14ac:dyDescent="0.3">
      <c r="A46" s="43"/>
      <c r="B46" s="706"/>
      <c r="C46" s="712"/>
      <c r="D46" s="711"/>
      <c r="E46" s="711"/>
      <c r="F46" s="711"/>
      <c r="G46" s="736"/>
      <c r="H46" s="711"/>
      <c r="I46" s="711"/>
      <c r="J46" s="711"/>
      <c r="K46" s="709"/>
      <c r="L46" s="707"/>
      <c r="M46" s="43"/>
      <c r="N46" s="43"/>
    </row>
    <row r="47" spans="1:14" ht="15.6" x14ac:dyDescent="0.3">
      <c r="A47" s="43"/>
      <c r="B47" s="706"/>
      <c r="C47" s="712">
        <v>10</v>
      </c>
      <c r="D47" s="711" t="s">
        <v>910</v>
      </c>
      <c r="E47" s="713" t="s">
        <v>15</v>
      </c>
      <c r="F47" s="711"/>
      <c r="G47" s="711"/>
      <c r="H47" s="711"/>
      <c r="I47" s="711"/>
      <c r="J47" s="711"/>
      <c r="K47" s="709"/>
      <c r="L47" s="707"/>
      <c r="M47" s="43"/>
      <c r="N47" s="43"/>
    </row>
    <row r="48" spans="1:14" ht="15.6" x14ac:dyDescent="0.3">
      <c r="A48" s="43"/>
      <c r="B48" s="706"/>
      <c r="C48" s="712"/>
      <c r="D48" s="711"/>
      <c r="E48" s="711"/>
      <c r="F48" s="736"/>
      <c r="G48" s="711"/>
      <c r="H48" s="711"/>
      <c r="I48" s="711"/>
      <c r="J48" s="711"/>
      <c r="K48" s="709"/>
      <c r="L48" s="707"/>
      <c r="M48" s="43"/>
      <c r="N48" s="43"/>
    </row>
    <row r="49" spans="1:14" ht="15.6" x14ac:dyDescent="0.3">
      <c r="A49" s="43"/>
      <c r="B49" s="706"/>
      <c r="C49" s="712">
        <v>11</v>
      </c>
      <c r="D49" s="1623" t="s">
        <v>911</v>
      </c>
      <c r="E49" s="1623"/>
      <c r="F49" s="1623"/>
      <c r="G49" s="1623"/>
      <c r="H49" s="1624"/>
      <c r="I49" s="1623"/>
      <c r="J49" s="1623"/>
      <c r="K49" s="709"/>
      <c r="L49" s="707"/>
      <c r="M49" s="43"/>
      <c r="N49" s="43"/>
    </row>
    <row r="50" spans="1:14" ht="15.6" x14ac:dyDescent="0.3">
      <c r="A50" s="43"/>
      <c r="B50" s="706"/>
      <c r="C50" s="4"/>
      <c r="D50" s="139" t="s">
        <v>912</v>
      </c>
      <c r="E50" s="139"/>
      <c r="F50" s="139"/>
      <c r="G50" s="752">
        <f>995*E72*POWER(G17, -0.3333)</f>
        <v>439.98938066113482</v>
      </c>
      <c r="H50" s="139" t="s">
        <v>913</v>
      </c>
      <c r="I50" s="58"/>
      <c r="J50" s="139"/>
      <c r="K50" s="738">
        <f>(E33-E34)/200*10</f>
        <v>10.432499999999997</v>
      </c>
      <c r="L50" s="707"/>
      <c r="M50" s="389">
        <v>3.8</v>
      </c>
      <c r="N50" s="43"/>
    </row>
    <row r="51" spans="1:14" ht="15.6" x14ac:dyDescent="0.3">
      <c r="A51" s="43"/>
      <c r="B51" s="706"/>
      <c r="C51" s="4"/>
      <c r="D51" s="139" t="s">
        <v>914</v>
      </c>
      <c r="E51" s="139"/>
      <c r="F51" s="139"/>
      <c r="G51" s="737">
        <f>G50*0.8</f>
        <v>351.99150452890785</v>
      </c>
      <c r="H51" s="139" t="s">
        <v>915</v>
      </c>
      <c r="I51" s="58"/>
      <c r="J51" s="139"/>
      <c r="K51" s="738">
        <f>K50*0.8</f>
        <v>8.3459999999999983</v>
      </c>
      <c r="L51" s="707"/>
      <c r="M51" s="43"/>
      <c r="N51" s="43"/>
    </row>
    <row r="52" spans="1:14" ht="21" x14ac:dyDescent="0.4">
      <c r="A52" s="43"/>
      <c r="B52" s="706"/>
      <c r="C52" s="4"/>
      <c r="D52" s="139" t="s">
        <v>916</v>
      </c>
      <c r="E52" s="139"/>
      <c r="F52" s="139"/>
      <c r="G52" s="739">
        <f>G50*F25/F26/39.25</f>
        <v>43.377518558671831</v>
      </c>
      <c r="H52" s="1625" t="s">
        <v>917</v>
      </c>
      <c r="I52" s="1625"/>
      <c r="J52" s="1625"/>
      <c r="K52" s="1626">
        <v>4</v>
      </c>
      <c r="L52" s="707"/>
      <c r="M52" s="43"/>
      <c r="N52" s="43"/>
    </row>
    <row r="53" spans="1:14" ht="21" x14ac:dyDescent="0.4">
      <c r="A53" s="43"/>
      <c r="B53" s="706"/>
      <c r="C53" s="4"/>
      <c r="D53" s="139" t="s">
        <v>918</v>
      </c>
      <c r="E53" s="139"/>
      <c r="F53" s="139"/>
      <c r="G53" s="739">
        <f>G52*0.8</f>
        <v>34.702014846937466</v>
      </c>
      <c r="H53" s="1625"/>
      <c r="I53" s="1625"/>
      <c r="J53" s="1625"/>
      <c r="K53" s="1627"/>
      <c r="L53" s="707"/>
      <c r="M53" s="43"/>
      <c r="N53" s="43"/>
    </row>
    <row r="54" spans="1:14" x14ac:dyDescent="0.3">
      <c r="A54" s="43"/>
      <c r="B54" s="706"/>
      <c r="C54" s="4"/>
      <c r="D54" s="1610" t="s">
        <v>919</v>
      </c>
      <c r="E54" s="1611"/>
      <c r="F54" s="1612"/>
      <c r="G54" s="740">
        <f>ROUND(SQRT(E71)/50,0)*50</f>
        <v>800</v>
      </c>
      <c r="H54" s="59"/>
      <c r="I54" s="59"/>
      <c r="J54" s="59"/>
      <c r="K54" s="10"/>
      <c r="L54" s="707"/>
      <c r="M54" s="43"/>
      <c r="N54" s="43"/>
    </row>
    <row r="55" spans="1:14" x14ac:dyDescent="0.3">
      <c r="A55" s="43"/>
      <c r="B55" s="706"/>
      <c r="C55" s="4"/>
      <c r="D55" s="59"/>
      <c r="E55" s="59"/>
      <c r="F55" s="59"/>
      <c r="G55" s="59"/>
      <c r="H55" s="59"/>
      <c r="I55" s="59"/>
      <c r="J55" s="59"/>
      <c r="K55" s="10"/>
      <c r="L55" s="707"/>
      <c r="M55" s="43"/>
      <c r="N55" s="43"/>
    </row>
    <row r="56" spans="1:14" ht="15.6" x14ac:dyDescent="0.3">
      <c r="A56" s="43"/>
      <c r="B56" s="706"/>
      <c r="C56" s="712">
        <v>12</v>
      </c>
      <c r="D56" s="711" t="s">
        <v>920</v>
      </c>
      <c r="E56" s="711"/>
      <c r="F56" s="711"/>
      <c r="G56" s="711"/>
      <c r="H56" s="711"/>
      <c r="I56" s="59"/>
      <c r="J56" s="59"/>
      <c r="K56" s="10"/>
      <c r="L56" s="707"/>
      <c r="M56" s="43"/>
      <c r="N56" s="43"/>
    </row>
    <row r="57" spans="1:14" ht="15.6" x14ac:dyDescent="0.3">
      <c r="A57" s="43"/>
      <c r="B57" s="706"/>
      <c r="C57" s="708"/>
      <c r="D57" s="711" t="s">
        <v>921</v>
      </c>
      <c r="E57" s="711"/>
      <c r="F57" s="711"/>
      <c r="G57" s="711"/>
      <c r="H57" s="711"/>
      <c r="I57" s="59"/>
      <c r="J57" s="59"/>
      <c r="K57" s="10"/>
      <c r="L57" s="707"/>
      <c r="M57" s="43"/>
      <c r="N57" s="43"/>
    </row>
    <row r="58" spans="1:14" ht="15.6" x14ac:dyDescent="0.3">
      <c r="A58" s="43"/>
      <c r="B58" s="706"/>
      <c r="C58" s="708"/>
      <c r="D58" s="711" t="s">
        <v>922</v>
      </c>
      <c r="E58" s="711"/>
      <c r="F58" s="711"/>
      <c r="G58" s="711"/>
      <c r="H58" s="711"/>
      <c r="I58" s="59"/>
      <c r="J58" s="59"/>
      <c r="K58" s="10"/>
      <c r="L58" s="707"/>
      <c r="M58" s="43"/>
      <c r="N58" s="43"/>
    </row>
    <row r="59" spans="1:14" ht="15.6" x14ac:dyDescent="0.3">
      <c r="A59" s="43"/>
      <c r="B59" s="706"/>
      <c r="C59" s="708"/>
      <c r="D59" s="711"/>
      <c r="E59" s="711"/>
      <c r="F59" s="711"/>
      <c r="G59" s="711"/>
      <c r="H59" s="711"/>
      <c r="I59" s="59"/>
      <c r="J59" s="59"/>
      <c r="K59" s="10"/>
      <c r="L59" s="707"/>
      <c r="M59" s="43"/>
      <c r="N59" s="43"/>
    </row>
    <row r="60" spans="1:14" ht="15.6" x14ac:dyDescent="0.3">
      <c r="A60" s="43"/>
      <c r="B60" s="706"/>
      <c r="C60" s="708"/>
      <c r="D60" s="711"/>
      <c r="E60" s="711"/>
      <c r="F60" s="711"/>
      <c r="G60" s="711"/>
      <c r="H60" s="711"/>
      <c r="I60" s="59"/>
      <c r="J60" s="59"/>
      <c r="K60" s="10"/>
      <c r="L60" s="707"/>
      <c r="M60" s="43"/>
      <c r="N60" s="43"/>
    </row>
    <row r="61" spans="1:14" x14ac:dyDescent="0.3">
      <c r="A61" s="43"/>
      <c r="B61" s="706"/>
      <c r="C61" s="4"/>
      <c r="D61" s="59"/>
      <c r="E61" s="59"/>
      <c r="F61" s="59"/>
      <c r="G61" s="59"/>
      <c r="H61" s="59"/>
      <c r="I61" s="59"/>
      <c r="J61" s="59"/>
      <c r="K61" s="10"/>
      <c r="L61" s="707"/>
      <c r="M61" s="43"/>
      <c r="N61" s="43"/>
    </row>
    <row r="62" spans="1:14" x14ac:dyDescent="0.3">
      <c r="A62" s="43"/>
      <c r="B62" s="706"/>
      <c r="C62" s="4"/>
      <c r="D62" s="59"/>
      <c r="E62" s="59"/>
      <c r="F62" s="59"/>
      <c r="G62" s="59"/>
      <c r="H62" s="59"/>
      <c r="I62" s="59"/>
      <c r="J62" s="59"/>
      <c r="K62" s="10"/>
      <c r="L62" s="707"/>
      <c r="M62" s="43"/>
      <c r="N62" s="43"/>
    </row>
    <row r="63" spans="1:14" x14ac:dyDescent="0.3">
      <c r="A63" s="43"/>
      <c r="B63" s="706"/>
      <c r="C63" s="4"/>
      <c r="D63" s="59"/>
      <c r="E63" s="59"/>
      <c r="F63" s="59"/>
      <c r="G63" s="59"/>
      <c r="H63" s="59"/>
      <c r="I63" s="59"/>
      <c r="J63" s="59"/>
      <c r="K63" s="10"/>
      <c r="L63" s="707"/>
      <c r="M63" s="43"/>
      <c r="N63" s="43"/>
    </row>
    <row r="64" spans="1:14" ht="15.6" x14ac:dyDescent="0.3">
      <c r="A64" s="43"/>
      <c r="B64" s="706"/>
      <c r="C64" s="4"/>
      <c r="D64" s="59"/>
      <c r="E64" s="139"/>
      <c r="F64" s="139" t="s">
        <v>923</v>
      </c>
      <c r="G64" s="1632" t="s">
        <v>924</v>
      </c>
      <c r="H64" s="1632"/>
      <c r="I64" s="1633" t="s">
        <v>71</v>
      </c>
      <c r="J64" s="1634"/>
      <c r="K64" s="741" t="s">
        <v>68</v>
      </c>
      <c r="L64" s="707"/>
      <c r="M64" s="43"/>
      <c r="N64" s="43"/>
    </row>
    <row r="65" spans="1:14" ht="15.6" x14ac:dyDescent="0.3">
      <c r="A65" s="43"/>
      <c r="B65" s="706"/>
      <c r="C65" s="4"/>
      <c r="D65" s="59"/>
      <c r="E65" s="139" t="s">
        <v>925</v>
      </c>
      <c r="F65" s="139" t="s">
        <v>926</v>
      </c>
      <c r="G65" s="1635" t="s">
        <v>927</v>
      </c>
      <c r="H65" s="1635"/>
      <c r="I65" s="1633"/>
      <c r="J65" s="1634"/>
      <c r="K65" s="742">
        <f ca="1">TODAY()</f>
        <v>45420</v>
      </c>
      <c r="L65" s="707"/>
      <c r="M65" s="43"/>
      <c r="N65" s="43"/>
    </row>
    <row r="66" spans="1:14" ht="15.6" x14ac:dyDescent="0.3">
      <c r="A66" s="43"/>
      <c r="B66" s="706"/>
      <c r="C66" s="4"/>
      <c r="D66" s="59"/>
      <c r="E66" s="139" t="s">
        <v>928</v>
      </c>
      <c r="F66" s="139"/>
      <c r="G66" s="1635"/>
      <c r="H66" s="1635"/>
      <c r="I66" s="1633"/>
      <c r="J66" s="1634"/>
      <c r="K66" s="743"/>
      <c r="L66" s="707"/>
      <c r="M66" s="43"/>
      <c r="N66" s="43"/>
    </row>
    <row r="67" spans="1:14" ht="16.2" thickBot="1" x14ac:dyDescent="0.35">
      <c r="A67" s="43"/>
      <c r="B67" s="706"/>
      <c r="C67" s="19"/>
      <c r="D67" s="65"/>
      <c r="E67" s="744" t="s">
        <v>929</v>
      </c>
      <c r="F67" s="744" t="s">
        <v>930</v>
      </c>
      <c r="G67" s="1628" t="s">
        <v>931</v>
      </c>
      <c r="H67" s="1629"/>
      <c r="I67" s="1630"/>
      <c r="J67" s="1631"/>
      <c r="K67" s="745"/>
      <c r="L67" s="707"/>
      <c r="M67" s="43"/>
      <c r="N67" s="43"/>
    </row>
    <row r="68" spans="1:14" x14ac:dyDescent="0.3">
      <c r="A68" s="43"/>
      <c r="B68" s="746"/>
      <c r="C68" s="747"/>
      <c r="D68" s="747"/>
      <c r="E68" s="747"/>
      <c r="F68" s="747"/>
      <c r="G68" s="747"/>
      <c r="H68" s="747"/>
      <c r="I68" s="747"/>
      <c r="J68" s="747"/>
      <c r="K68" s="747"/>
      <c r="L68" s="74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939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932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933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934</v>
      </c>
      <c r="E73" s="749">
        <f>ROUNDUP(F38/50,0)*50</f>
        <v>900</v>
      </c>
      <c r="F73" s="43" t="s">
        <v>935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936</v>
      </c>
      <c r="E74">
        <f>VLOOKUP(E47,Данные!A3:I22,9,FALSE())</f>
        <v>8.8800000000000008</v>
      </c>
    </row>
  </sheetData>
  <mergeCells count="20">
    <mergeCell ref="G67:H67"/>
    <mergeCell ref="I67:J67"/>
    <mergeCell ref="G64:H64"/>
    <mergeCell ref="I64:J64"/>
    <mergeCell ref="G65:H65"/>
    <mergeCell ref="I65:J65"/>
    <mergeCell ref="G66:H66"/>
    <mergeCell ref="I66:J66"/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BO1" zoomScale="85" zoomScaleNormal="85" workbookViewId="0">
      <selection activeCell="CN14" sqref="CN14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1124</v>
      </c>
      <c r="L2" s="1"/>
      <c r="M2" s="2"/>
      <c r="N2" s="2"/>
      <c r="O2" s="41" t="s">
        <v>0</v>
      </c>
      <c r="P2" s="2"/>
      <c r="Q2" s="2"/>
      <c r="R2" s="2"/>
      <c r="S2" s="2"/>
      <c r="T2" s="350" t="s">
        <v>1124</v>
      </c>
      <c r="V2" s="1"/>
      <c r="W2" s="2"/>
      <c r="X2" s="2"/>
      <c r="Y2" s="41" t="s">
        <v>0</v>
      </c>
      <c r="Z2" s="2"/>
      <c r="AA2" s="2"/>
      <c r="AB2" s="2"/>
      <c r="AC2" s="2"/>
      <c r="AD2" s="350" t="s">
        <v>1124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1124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1124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1124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1133</v>
      </c>
      <c r="G3" s="5"/>
      <c r="H3" s="59"/>
      <c r="I3" s="43" t="s">
        <v>341</v>
      </c>
      <c r="J3" s="135"/>
      <c r="L3" s="12" t="s">
        <v>2</v>
      </c>
      <c r="M3" s="59"/>
      <c r="N3" s="5"/>
      <c r="O3" s="5"/>
      <c r="P3" s="45" t="s">
        <v>417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801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805</v>
      </c>
      <c r="AK3" s="5"/>
      <c r="AL3" s="59"/>
      <c r="AM3" s="43" t="s">
        <v>341</v>
      </c>
      <c r="AN3" s="135"/>
      <c r="AO3" s="43"/>
      <c r="AP3" s="12" t="s">
        <v>2</v>
      </c>
      <c r="AQ3" s="59"/>
      <c r="AR3" s="5"/>
      <c r="AS3" s="5"/>
      <c r="AT3" s="45" t="s">
        <v>847</v>
      </c>
      <c r="AU3" s="5"/>
      <c r="AV3" s="59"/>
      <c r="AW3" s="43" t="s">
        <v>341</v>
      </c>
      <c r="AX3" s="135"/>
      <c r="AY3" s="43"/>
      <c r="AZ3" s="12" t="s">
        <v>2</v>
      </c>
      <c r="BA3" s="59"/>
      <c r="BB3" s="5"/>
      <c r="BC3" s="5"/>
      <c r="BD3" s="45" t="s">
        <v>1100</v>
      </c>
      <c r="BE3" s="5"/>
      <c r="BF3" s="59"/>
      <c r="BG3" s="43" t="s">
        <v>341</v>
      </c>
      <c r="BH3" s="135" t="s">
        <v>1099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1124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1124</v>
      </c>
      <c r="CD3" s="1"/>
      <c r="CE3" s="2"/>
      <c r="CF3" s="2"/>
      <c r="CG3" s="41" t="s">
        <v>0</v>
      </c>
      <c r="CH3" s="2"/>
      <c r="CI3" s="2"/>
      <c r="CJ3" s="2"/>
      <c r="CK3" s="2"/>
      <c r="CL3" s="1473" t="s">
        <v>1124</v>
      </c>
    </row>
    <row r="4" spans="2:90" x14ac:dyDescent="0.3">
      <c r="B4" s="4" t="s">
        <v>4</v>
      </c>
      <c r="C4" s="59"/>
      <c r="D4" s="55"/>
      <c r="E4" s="55"/>
      <c r="F4" s="43" t="s">
        <v>1132</v>
      </c>
      <c r="G4" s="55"/>
      <c r="H4" s="55"/>
      <c r="I4" s="46" t="s">
        <v>1132</v>
      </c>
      <c r="J4" s="10"/>
      <c r="L4" s="4" t="s">
        <v>4</v>
      </c>
      <c r="M4" s="59"/>
      <c r="N4" s="55"/>
      <c r="O4" s="55"/>
      <c r="P4" s="43" t="s">
        <v>425</v>
      </c>
      <c r="Q4" s="55"/>
      <c r="R4" s="55"/>
      <c r="S4" s="46"/>
      <c r="T4" s="10"/>
      <c r="V4" s="4" t="s">
        <v>4</v>
      </c>
      <c r="W4" s="59"/>
      <c r="X4" s="55"/>
      <c r="Y4" s="55"/>
      <c r="Z4" s="448" t="s">
        <v>802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806</v>
      </c>
      <c r="AK4" s="55"/>
      <c r="AL4" s="55"/>
      <c r="AM4" s="46" t="s">
        <v>806</v>
      </c>
      <c r="AN4" s="10"/>
      <c r="AO4" s="43"/>
      <c r="AP4" s="4" t="s">
        <v>4</v>
      </c>
      <c r="AQ4" s="59"/>
      <c r="AR4" s="55"/>
      <c r="AS4" s="55"/>
      <c r="AT4" s="43" t="s">
        <v>366</v>
      </c>
      <c r="AU4" s="55"/>
      <c r="AV4" s="55"/>
      <c r="AW4" s="46" t="s">
        <v>366</v>
      </c>
      <c r="AX4" s="10"/>
      <c r="AY4" s="43"/>
      <c r="AZ4" s="4" t="s">
        <v>4</v>
      </c>
      <c r="BA4" s="59"/>
      <c r="BB4" s="55"/>
      <c r="BC4" s="55"/>
      <c r="BD4" s="43" t="s">
        <v>1095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339</v>
      </c>
      <c r="BO4" s="5"/>
      <c r="BP4" s="59"/>
      <c r="BQ4" t="s">
        <v>341</v>
      </c>
      <c r="BR4" s="135"/>
      <c r="BT4" s="12" t="s">
        <v>2</v>
      </c>
      <c r="BU4" s="59"/>
      <c r="BV4" s="5"/>
      <c r="BW4" s="5"/>
      <c r="BX4" s="45" t="s">
        <v>364</v>
      </c>
      <c r="BY4" s="5"/>
      <c r="BZ4" s="59"/>
      <c r="CA4" s="43" t="s">
        <v>341</v>
      </c>
      <c r="CB4" s="135"/>
      <c r="CD4" s="12" t="s">
        <v>2</v>
      </c>
      <c r="CE4" s="59"/>
      <c r="CF4" s="5"/>
      <c r="CG4" s="5"/>
      <c r="CH4" s="1489" t="s">
        <v>1271</v>
      </c>
      <c r="CI4" s="5"/>
      <c r="CJ4" s="59"/>
      <c r="CK4" s="43"/>
      <c r="CL4" s="135"/>
    </row>
    <row r="5" spans="2:90" x14ac:dyDescent="0.3">
      <c r="B5" s="4" t="s">
        <v>6</v>
      </c>
      <c r="C5" s="59"/>
      <c r="D5" s="55"/>
      <c r="E5" s="55"/>
      <c r="F5" s="14" t="s">
        <v>316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418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803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316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316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340</v>
      </c>
      <c r="BO5" s="55"/>
      <c r="BP5" s="55"/>
      <c r="BQ5" s="46" t="s">
        <v>338</v>
      </c>
      <c r="BR5" s="10"/>
      <c r="BT5" s="4" t="s">
        <v>4</v>
      </c>
      <c r="BU5" s="59"/>
      <c r="BV5" s="55"/>
      <c r="BW5" s="55"/>
      <c r="BX5" s="43" t="s">
        <v>365</v>
      </c>
      <c r="BY5" s="55"/>
      <c r="BZ5" s="55"/>
      <c r="CA5" s="46" t="s">
        <v>366</v>
      </c>
      <c r="CB5" s="10"/>
      <c r="CD5" s="4" t="s">
        <v>4</v>
      </c>
      <c r="CE5" s="59"/>
      <c r="CF5" s="55"/>
      <c r="CG5" s="55"/>
      <c r="CH5" s="438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337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316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1273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804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46" t="s">
        <v>28</v>
      </c>
      <c r="BE7" s="5"/>
      <c r="BF7" s="71"/>
      <c r="BG7" s="5" t="s">
        <v>17</v>
      </c>
      <c r="BH7" s="190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61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85" t="s">
        <v>43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44">
        <v>2935</v>
      </c>
      <c r="G9" s="9" t="s">
        <v>343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343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343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44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343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343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44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342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342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342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342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342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44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1141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4"/>
      <c r="Y12" s="45"/>
      <c r="Z12" s="165"/>
      <c r="AA12" s="5"/>
      <c r="AB12" s="5"/>
      <c r="AC12" s="166"/>
      <c r="AD12" s="167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342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342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45">
        <f>ROUNDUP(CH11*1.04,0)</f>
        <v>99</v>
      </c>
      <c r="CI12" s="20"/>
      <c r="CJ12" s="20"/>
      <c r="CK12" s="20"/>
      <c r="CL12" s="1474"/>
    </row>
    <row r="13" spans="2:90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9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  <c r="CD13" s="1475"/>
      <c r="CE13" s="1476"/>
      <c r="CF13" s="1476"/>
      <c r="CG13" s="1477"/>
      <c r="CH13" s="1478"/>
      <c r="CI13" s="1476"/>
      <c r="CJ13" s="1476"/>
      <c r="CK13" s="166"/>
      <c r="CL13" s="167"/>
    </row>
    <row r="14" spans="2:90" ht="15" thickBot="1" x14ac:dyDescent="0.35">
      <c r="B14" s="12"/>
      <c r="C14" s="5"/>
      <c r="D14" s="164"/>
      <c r="E14" s="45"/>
      <c r="F14" s="165"/>
      <c r="G14" s="5"/>
      <c r="H14" s="5"/>
      <c r="I14" s="166"/>
      <c r="J14" s="167"/>
      <c r="L14" s="12"/>
      <c r="M14" s="5"/>
      <c r="N14" s="164"/>
      <c r="O14" s="45"/>
      <c r="P14" s="165"/>
      <c r="Q14" s="5"/>
      <c r="R14" s="5"/>
      <c r="S14" s="166"/>
      <c r="T14" s="167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  <c r="CD14" s="1205"/>
      <c r="CE14" s="1206"/>
      <c r="CF14" s="1206"/>
      <c r="CG14" s="1482"/>
      <c r="CH14" s="1206"/>
      <c r="CI14" s="52"/>
      <c r="CJ14" s="1479"/>
      <c r="CK14" s="23"/>
      <c r="CL14" s="24"/>
    </row>
    <row r="15" spans="2:90" x14ac:dyDescent="0.3">
      <c r="B15" s="1205"/>
      <c r="C15" s="1206"/>
      <c r="D15" s="1206"/>
      <c r="E15" s="1206"/>
      <c r="F15" s="1206" t="s">
        <v>1136</v>
      </c>
      <c r="G15" s="1206"/>
      <c r="H15" s="1206"/>
      <c r="I15" s="23"/>
      <c r="J15" s="24"/>
      <c r="L15" s="4"/>
      <c r="M15" s="55"/>
      <c r="N15" s="55"/>
      <c r="O15" s="55"/>
      <c r="P15" s="55"/>
      <c r="Q15" s="53" t="s">
        <v>419</v>
      </c>
      <c r="R15" s="349" t="s">
        <v>420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36" t="s">
        <v>1094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  <c r="CD15" s="1205"/>
      <c r="CE15" s="1206"/>
      <c r="CF15" s="1206"/>
      <c r="CG15" s="1206"/>
      <c r="CH15" s="1206"/>
      <c r="CI15" s="1206"/>
      <c r="CJ15" s="1207"/>
      <c r="CK15" s="23"/>
      <c r="CL15" s="24"/>
    </row>
    <row r="16" spans="2:90" x14ac:dyDescent="0.3">
      <c r="B16" s="1205"/>
      <c r="C16" s="1206"/>
      <c r="D16" s="1206"/>
      <c r="E16" s="1206"/>
      <c r="F16" s="1206"/>
      <c r="G16" s="1206"/>
      <c r="H16" s="1207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421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205"/>
      <c r="CE16" s="1206"/>
      <c r="CF16" s="1206"/>
      <c r="CG16" s="1480"/>
      <c r="CH16" s="1206"/>
      <c r="CI16" s="1206"/>
      <c r="CJ16" s="1206"/>
      <c r="CK16" s="29"/>
      <c r="CL16" s="27"/>
    </row>
    <row r="17" spans="2:90" x14ac:dyDescent="0.3">
      <c r="B17" s="1205"/>
      <c r="C17" s="1206"/>
      <c r="D17" s="1206"/>
      <c r="E17" s="1206"/>
      <c r="F17" s="1208" t="s">
        <v>1135</v>
      </c>
      <c r="G17" s="1206"/>
      <c r="H17" s="1206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423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205"/>
      <c r="CE17" s="1206"/>
      <c r="CF17" s="1206"/>
      <c r="CH17" s="1211"/>
      <c r="CI17" s="23"/>
      <c r="CJ17" s="23"/>
      <c r="CK17" s="23"/>
      <c r="CL17" s="24"/>
    </row>
    <row r="18" spans="2:90" x14ac:dyDescent="0.3">
      <c r="B18" s="1205"/>
      <c r="C18" s="1206"/>
      <c r="D18" s="1206"/>
      <c r="E18" s="1206"/>
      <c r="F18" s="1206"/>
      <c r="G18" s="1206"/>
      <c r="H18" s="1206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205"/>
      <c r="CE18" s="1206"/>
      <c r="CF18" s="1206"/>
      <c r="CG18" s="1480"/>
      <c r="CH18" s="1206"/>
      <c r="CI18" s="52"/>
      <c r="CJ18" s="1206"/>
      <c r="CK18" s="29"/>
      <c r="CL18" s="27"/>
    </row>
    <row r="19" spans="2:90" ht="15.6" x14ac:dyDescent="0.3">
      <c r="B19" s="1205"/>
      <c r="C19" s="1206"/>
      <c r="D19" s="1206"/>
      <c r="E19" s="1206"/>
      <c r="F19" s="1206"/>
      <c r="G19" s="1206"/>
      <c r="H19" s="1209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422</v>
      </c>
      <c r="R19" s="55" t="s">
        <v>428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37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205"/>
      <c r="CE19" s="1206"/>
      <c r="CF19" s="1206"/>
      <c r="CH19" s="1211"/>
      <c r="CI19" s="1206"/>
      <c r="CJ19" s="1209"/>
      <c r="CK19" s="29"/>
      <c r="CL19" s="27"/>
    </row>
    <row r="20" spans="2:90" x14ac:dyDescent="0.3">
      <c r="B20" s="1205"/>
      <c r="C20" s="1206"/>
      <c r="D20" s="1206"/>
      <c r="E20" s="1206"/>
      <c r="F20" s="1206"/>
      <c r="G20" s="1206"/>
      <c r="H20" s="1209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429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35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  <c r="CD20" s="1205"/>
      <c r="CE20" s="1206"/>
      <c r="CF20" s="1206"/>
      <c r="CG20" s="1206"/>
      <c r="CH20" s="1206"/>
      <c r="CI20" s="1206"/>
      <c r="CJ20" s="1209"/>
      <c r="CK20" s="29"/>
      <c r="CL20" s="27"/>
    </row>
    <row r="21" spans="2:90" x14ac:dyDescent="0.3">
      <c r="B21" s="1205"/>
      <c r="C21" s="1206"/>
      <c r="D21" s="1206"/>
      <c r="E21" s="1206"/>
      <c r="F21" s="1206"/>
      <c r="G21" s="1206"/>
      <c r="H21" s="1209" t="str">
        <f>IF(Данные!V42=TRUE,"ХХ","")</f>
        <v/>
      </c>
      <c r="I21" s="29" t="s">
        <v>1140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  <c r="CD21" s="1205"/>
      <c r="CE21" s="1206"/>
      <c r="CF21" s="187"/>
      <c r="CG21" s="30"/>
      <c r="CH21" s="1206"/>
      <c r="CI21" s="52"/>
      <c r="CJ21" s="1209"/>
      <c r="CK21" s="29"/>
      <c r="CL21" s="27"/>
    </row>
    <row r="22" spans="2:90" x14ac:dyDescent="0.3">
      <c r="B22" s="1205"/>
      <c r="C22" s="1206"/>
      <c r="D22" s="187"/>
      <c r="E22" s="30"/>
      <c r="F22" s="1206" t="s">
        <v>1137</v>
      </c>
      <c r="G22" s="1206"/>
      <c r="H22" s="1206"/>
      <c r="I22" s="29"/>
      <c r="J22" s="27"/>
      <c r="L22" s="4"/>
      <c r="M22" s="55"/>
      <c r="N22" s="31"/>
      <c r="O22" s="32"/>
      <c r="P22" s="55"/>
      <c r="Q22" s="53" t="s">
        <v>424</v>
      </c>
      <c r="R22" s="126" t="s">
        <v>426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  <c r="CD22" s="1205"/>
      <c r="CE22" s="1206"/>
      <c r="CF22" s="23"/>
      <c r="CG22" s="1206"/>
      <c r="CH22" s="1206"/>
      <c r="CI22" s="1206"/>
      <c r="CJ22" s="1209"/>
      <c r="CK22" s="29"/>
      <c r="CL22" s="27"/>
    </row>
    <row r="23" spans="2:90" x14ac:dyDescent="0.3">
      <c r="B23" s="1205"/>
      <c r="C23" s="1206"/>
      <c r="D23" s="23"/>
      <c r="E23" s="1206"/>
      <c r="F23" s="1206"/>
      <c r="G23" s="1206"/>
      <c r="H23" s="1206"/>
      <c r="I23" s="29"/>
      <c r="J23" s="27"/>
      <c r="L23" s="4"/>
      <c r="M23" s="55"/>
      <c r="N23" s="59"/>
      <c r="O23" s="55"/>
      <c r="P23" s="55"/>
      <c r="Q23" s="55"/>
      <c r="R23" s="126" t="s">
        <v>427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34" t="s">
        <v>1093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205"/>
      <c r="CE23" s="1210"/>
      <c r="CF23" s="23"/>
      <c r="CG23" s="187"/>
      <c r="CH23" s="1206"/>
      <c r="CI23" s="1206"/>
      <c r="CJ23" s="1209"/>
      <c r="CK23" s="29"/>
      <c r="CL23" s="27"/>
    </row>
    <row r="24" spans="2:90" x14ac:dyDescent="0.3">
      <c r="B24" s="1205"/>
      <c r="C24" s="1210"/>
      <c r="D24" s="23"/>
      <c r="E24" s="187"/>
      <c r="F24" s="1206" t="s">
        <v>1145</v>
      </c>
      <c r="G24" s="1206"/>
      <c r="H24" s="1206"/>
      <c r="I24" s="29"/>
      <c r="J24" s="27"/>
      <c r="L24" s="4"/>
      <c r="M24" s="33"/>
      <c r="N24" s="59"/>
      <c r="O24" s="34"/>
      <c r="P24" s="55"/>
      <c r="Q24" s="55"/>
      <c r="R24" s="126" t="s">
        <v>430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205"/>
      <c r="CE24" s="23"/>
      <c r="CF24" s="1206"/>
      <c r="CG24" s="29"/>
      <c r="CH24" s="187"/>
      <c r="CI24" s="1206"/>
      <c r="CJ24" s="1481"/>
      <c r="CK24" s="29"/>
      <c r="CL24" s="27"/>
    </row>
    <row r="25" spans="2:90" x14ac:dyDescent="0.3">
      <c r="B25" s="1212">
        <v>370</v>
      </c>
      <c r="C25" s="23"/>
      <c r="D25" s="1206"/>
      <c r="E25" s="29"/>
      <c r="F25" s="187"/>
      <c r="G25" s="1206"/>
      <c r="H25" s="1206"/>
      <c r="I25" s="29"/>
      <c r="J25" s="27"/>
      <c r="L25" s="4"/>
      <c r="M25" s="59"/>
      <c r="N25" s="55"/>
      <c r="O25" s="26"/>
      <c r="P25" s="31"/>
      <c r="Q25" s="55"/>
      <c r="R25" s="126" t="s">
        <v>431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205"/>
      <c r="CE25" s="23"/>
      <c r="CF25" s="1206"/>
      <c r="CG25" s="29"/>
      <c r="CH25" s="187"/>
      <c r="CI25" s="1206"/>
      <c r="CJ25" s="1206"/>
      <c r="CK25" s="29"/>
      <c r="CL25" s="27"/>
    </row>
    <row r="26" spans="2:90" x14ac:dyDescent="0.3">
      <c r="B26" s="1212" t="s">
        <v>1146</v>
      </c>
      <c r="C26" s="23"/>
      <c r="D26" s="1206"/>
      <c r="E26" s="29"/>
      <c r="F26" s="187"/>
      <c r="G26" s="1206"/>
      <c r="H26" s="1206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205"/>
      <c r="CE26" s="1206"/>
      <c r="CF26" s="1206"/>
      <c r="CG26" s="1206"/>
      <c r="CH26" s="1206"/>
      <c r="CI26" s="1206"/>
      <c r="CJ26" s="1206"/>
      <c r="CK26" s="29"/>
      <c r="CL26" s="27"/>
    </row>
    <row r="27" spans="2:90" x14ac:dyDescent="0.3">
      <c r="B27" s="1212"/>
      <c r="C27" s="1206"/>
      <c r="D27" s="1206"/>
      <c r="E27" s="1206"/>
      <c r="F27" s="1206"/>
      <c r="G27" s="1206"/>
      <c r="H27" s="1206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1102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205"/>
      <c r="CE27" s="1206"/>
      <c r="CF27" s="1206"/>
      <c r="CG27" s="1480"/>
      <c r="CH27" s="1206"/>
      <c r="CI27" s="1206"/>
      <c r="CJ27" s="1206"/>
      <c r="CK27" s="29"/>
      <c r="CL27" s="27"/>
    </row>
    <row r="28" spans="2:90" x14ac:dyDescent="0.3">
      <c r="B28" s="1205"/>
      <c r="C28" s="1206"/>
      <c r="D28" s="1206"/>
      <c r="E28" s="1206"/>
      <c r="F28" s="1206" t="s">
        <v>1139</v>
      </c>
      <c r="G28" s="1206"/>
      <c r="H28" s="1206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205"/>
      <c r="CE28" s="1206"/>
      <c r="CF28" s="1206"/>
      <c r="CG28" s="1206"/>
      <c r="CH28" s="1206"/>
      <c r="CI28" s="1206"/>
      <c r="CJ28" s="1206"/>
      <c r="CK28" s="29"/>
      <c r="CL28" s="27"/>
    </row>
    <row r="29" spans="2:90" ht="15.6" x14ac:dyDescent="0.3">
      <c r="B29" s="1205"/>
      <c r="C29" s="1206"/>
      <c r="D29" s="1206"/>
      <c r="E29" s="1206"/>
      <c r="F29" s="1211" t="s">
        <v>1143</v>
      </c>
      <c r="G29" s="1206"/>
      <c r="H29" s="1206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37" t="s">
        <v>1101</v>
      </c>
      <c r="BB29" s="1137"/>
      <c r="BC29" s="1137"/>
      <c r="BD29" s="1137"/>
      <c r="BE29" s="1137"/>
      <c r="BF29" s="1137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205"/>
      <c r="CE29" s="1206"/>
      <c r="CF29" s="1206"/>
      <c r="CG29" s="1480"/>
      <c r="CH29" s="1211"/>
      <c r="CI29" s="1206"/>
      <c r="CJ29" s="1206"/>
      <c r="CK29" s="23"/>
      <c r="CL29" s="24"/>
    </row>
    <row r="30" spans="2:90" ht="15.6" x14ac:dyDescent="0.3">
      <c r="B30" s="1205"/>
      <c r="C30" s="1206"/>
      <c r="D30" s="1206"/>
      <c r="E30" s="1206"/>
      <c r="F30" s="1206"/>
      <c r="G30" s="1206"/>
      <c r="H30" s="1206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48" t="s">
        <v>1097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6"/>
      <c r="CK30" s="23"/>
      <c r="CL30" s="24"/>
    </row>
    <row r="31" spans="2:90" x14ac:dyDescent="0.3">
      <c r="B31" s="1205"/>
      <c r="C31" s="1206"/>
      <c r="D31" s="1206"/>
      <c r="E31" s="1206"/>
      <c r="F31" s="1206" t="s">
        <v>1138</v>
      </c>
      <c r="G31" s="1206"/>
      <c r="H31" s="1209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205"/>
      <c r="C32" s="1206"/>
      <c r="D32" s="1206" t="str">
        <f>IF(Данные!V38=TRUE,"ХХХХХХХХХХХХХХХХХХХХХХХХХХХХХХХХХХХ","")</f>
        <v/>
      </c>
      <c r="E32" s="23"/>
      <c r="F32" s="1206" t="s">
        <v>1144</v>
      </c>
      <c r="G32" s="1206"/>
      <c r="H32" s="1206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  <c r="CD32" s="4"/>
      <c r="CE32" s="128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205"/>
      <c r="C33" s="1206"/>
      <c r="D33" s="1206"/>
      <c r="E33" s="1206"/>
      <c r="F33" s="1206"/>
      <c r="G33" s="1206"/>
      <c r="H33" s="1206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>ХХХХХХХХХХХХХХХХХХХХХХХХХХХХХХХХХХХ</v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264</v>
      </c>
      <c r="X34" s="55"/>
      <c r="Y34" s="55"/>
      <c r="Z34" s="53" t="s">
        <v>54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47" t="s">
        <v>1098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1147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60</v>
      </c>
      <c r="X35" s="55"/>
      <c r="Y35" s="55"/>
      <c r="Z35" s="52" t="s">
        <v>91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7" t="str">
        <f>IF(OR(Данные!CX39=TRUE,Данные!CX43=TRUE),"Использовать холодильники","")</f>
        <v/>
      </c>
      <c r="CF35" s="20"/>
      <c r="CG35" s="134"/>
      <c r="CH35" s="20"/>
      <c r="CI35" s="65"/>
      <c r="CJ35" s="20"/>
      <c r="CK35" s="20"/>
      <c r="CL35" s="76"/>
    </row>
    <row r="36" spans="2:90" ht="16.2" thickBot="1" x14ac:dyDescent="0.35">
      <c r="B36" s="4"/>
      <c r="C36" s="55" t="s">
        <v>264</v>
      </c>
      <c r="D36" s="55"/>
      <c r="E36" s="55"/>
      <c r="F36" s="53" t="s">
        <v>54</v>
      </c>
      <c r="G36" s="55"/>
      <c r="H36" s="55"/>
      <c r="I36" s="55"/>
      <c r="J36" s="10"/>
      <c r="L36" s="4"/>
      <c r="M36" s="55" t="s">
        <v>264</v>
      </c>
      <c r="N36" s="55"/>
      <c r="O36" s="55"/>
      <c r="P36" s="53" t="s">
        <v>54</v>
      </c>
      <c r="Q36" s="55"/>
      <c r="R36" s="55"/>
      <c r="S36" s="55"/>
      <c r="T36" s="10"/>
      <c r="V36" s="4"/>
      <c r="W36" s="55" t="s">
        <v>55</v>
      </c>
      <c r="X36" s="55"/>
      <c r="Y36" s="55"/>
      <c r="Z36" s="53" t="s">
        <v>56</v>
      </c>
      <c r="AA36" s="55"/>
      <c r="AB36" s="55"/>
      <c r="AC36" s="55"/>
      <c r="AD36" s="10"/>
      <c r="AE36" s="43"/>
      <c r="AF36" s="4"/>
      <c r="AG36" s="55" t="s">
        <v>264</v>
      </c>
      <c r="AH36" s="55"/>
      <c r="AI36" s="55"/>
      <c r="AJ36" s="53" t="s">
        <v>54</v>
      </c>
      <c r="AK36" s="55"/>
      <c r="AL36" s="55"/>
      <c r="AM36" s="55"/>
      <c r="AN36" s="10"/>
      <c r="AO36" s="43"/>
      <c r="AP36" s="4"/>
      <c r="AQ36" s="55" t="s">
        <v>264</v>
      </c>
      <c r="AR36" s="55"/>
      <c r="AS36" s="55"/>
      <c r="AT36" s="53" t="s">
        <v>54</v>
      </c>
      <c r="AU36" s="55"/>
      <c r="AV36" s="55"/>
      <c r="AW36" s="55"/>
      <c r="AX36" s="10"/>
      <c r="AY36" s="43"/>
      <c r="AZ36" s="4"/>
      <c r="BA36" s="55" t="s">
        <v>264</v>
      </c>
      <c r="BB36" s="55"/>
      <c r="BC36" s="55"/>
      <c r="BD36" s="53" t="s">
        <v>54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>Использовать холодильники</v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  <c r="CD36" s="4"/>
      <c r="CE36" s="55" t="s">
        <v>264</v>
      </c>
      <c r="CF36" s="55"/>
      <c r="CG36" s="55"/>
      <c r="CH36" s="53" t="s">
        <v>54</v>
      </c>
      <c r="CI36" s="55"/>
      <c r="CJ36" s="55"/>
      <c r="CK36" s="55"/>
      <c r="CL36" s="10"/>
    </row>
    <row r="37" spans="2:90" x14ac:dyDescent="0.3">
      <c r="B37" s="4"/>
      <c r="C37" s="55" t="s">
        <v>60</v>
      </c>
      <c r="D37" s="55"/>
      <c r="E37" s="55"/>
      <c r="F37" s="52" t="s">
        <v>91</v>
      </c>
      <c r="G37" s="55"/>
      <c r="H37" s="55"/>
      <c r="I37" s="55"/>
      <c r="J37" s="10"/>
      <c r="L37" s="4"/>
      <c r="M37" s="55" t="s">
        <v>60</v>
      </c>
      <c r="N37" s="55"/>
      <c r="O37" s="55"/>
      <c r="P37" s="52" t="s">
        <v>91</v>
      </c>
      <c r="Q37" s="55"/>
      <c r="R37" s="55"/>
      <c r="S37" s="55"/>
      <c r="T37" s="10"/>
      <c r="V37" s="4"/>
      <c r="W37" s="55" t="s">
        <v>66</v>
      </c>
      <c r="X37" s="55"/>
      <c r="Y37" s="17"/>
      <c r="Z37" s="17" t="s">
        <v>67</v>
      </c>
      <c r="AA37" s="55"/>
      <c r="AB37" s="55"/>
      <c r="AC37" s="55"/>
      <c r="AD37" s="10"/>
      <c r="AE37" s="43"/>
      <c r="AF37" s="4"/>
      <c r="AG37" s="55" t="s">
        <v>60</v>
      </c>
      <c r="AH37" s="55"/>
      <c r="AI37" s="55"/>
      <c r="AJ37" s="52" t="s">
        <v>91</v>
      </c>
      <c r="AK37" s="55"/>
      <c r="AL37" s="55"/>
      <c r="AM37" s="55"/>
      <c r="AN37" s="10"/>
      <c r="AO37" s="43"/>
      <c r="AP37" s="4"/>
      <c r="AQ37" s="55" t="s">
        <v>60</v>
      </c>
      <c r="AR37" s="55"/>
      <c r="AS37" s="55"/>
      <c r="AT37" s="52" t="s">
        <v>91</v>
      </c>
      <c r="AU37" s="55"/>
      <c r="AV37" s="55"/>
      <c r="AW37" s="55"/>
      <c r="AX37" s="10"/>
      <c r="AY37" s="43"/>
      <c r="AZ37" s="4"/>
      <c r="BA37" s="55" t="s">
        <v>60</v>
      </c>
      <c r="BB37" s="55"/>
      <c r="BC37" s="55"/>
      <c r="BD37" s="52" t="s">
        <v>91</v>
      </c>
      <c r="BE37" s="55"/>
      <c r="BF37" s="55"/>
      <c r="BG37" s="55"/>
      <c r="BH37" s="10"/>
      <c r="BI37" s="43"/>
      <c r="BJ37" s="4"/>
      <c r="BK37" s="55" t="s">
        <v>264</v>
      </c>
      <c r="BL37" s="55"/>
      <c r="BM37" s="55"/>
      <c r="BN37" s="53" t="s">
        <v>54</v>
      </c>
      <c r="BO37" s="55"/>
      <c r="BP37" s="55"/>
      <c r="BQ37" s="55"/>
      <c r="BR37" s="10"/>
      <c r="BT37" s="4"/>
      <c r="BU37" s="55" t="s">
        <v>264</v>
      </c>
      <c r="BV37" s="55"/>
      <c r="BW37" s="55"/>
      <c r="BX37" s="53" t="s">
        <v>54</v>
      </c>
      <c r="BY37" s="55"/>
      <c r="BZ37" s="55"/>
      <c r="CA37" s="55"/>
      <c r="CB37" s="10"/>
      <c r="CD37" s="4"/>
      <c r="CE37" s="55" t="s">
        <v>55</v>
      </c>
      <c r="CF37" s="55"/>
      <c r="CG37" s="55"/>
      <c r="CH37" s="53" t="s">
        <v>56</v>
      </c>
      <c r="CI37" s="55"/>
      <c r="CJ37" s="55"/>
      <c r="CK37" s="55"/>
      <c r="CL37" s="10"/>
    </row>
    <row r="38" spans="2:90" ht="15" thickBot="1" x14ac:dyDescent="0.35">
      <c r="B38" s="4"/>
      <c r="C38" s="55" t="s">
        <v>55</v>
      </c>
      <c r="D38" s="55"/>
      <c r="E38" s="55"/>
      <c r="F38" s="53" t="s">
        <v>56</v>
      </c>
      <c r="G38" s="55"/>
      <c r="H38" s="55"/>
      <c r="I38" s="55"/>
      <c r="J38" s="10"/>
      <c r="L38" s="4"/>
      <c r="M38" s="55" t="s">
        <v>55</v>
      </c>
      <c r="N38" s="55"/>
      <c r="O38" s="55"/>
      <c r="P38" s="53" t="s">
        <v>56</v>
      </c>
      <c r="Q38" s="55"/>
      <c r="R38" s="55"/>
      <c r="S38" s="55"/>
      <c r="T38" s="10"/>
      <c r="V38" s="4"/>
      <c r="W38" s="55" t="s">
        <v>94</v>
      </c>
      <c r="X38" s="55"/>
      <c r="Y38" s="17"/>
      <c r="Z38" s="17" t="s">
        <v>58</v>
      </c>
      <c r="AA38" s="55"/>
      <c r="AB38" s="55"/>
      <c r="AC38" s="55"/>
      <c r="AD38" s="10"/>
      <c r="AE38" s="43"/>
      <c r="AF38" s="4"/>
      <c r="AG38" s="55" t="s">
        <v>55</v>
      </c>
      <c r="AH38" s="55"/>
      <c r="AI38" s="55"/>
      <c r="AJ38" s="53" t="s">
        <v>56</v>
      </c>
      <c r="AK38" s="55"/>
      <c r="AL38" s="55"/>
      <c r="AM38" s="55"/>
      <c r="AN38" s="10"/>
      <c r="AO38" s="43"/>
      <c r="AP38" s="4"/>
      <c r="AQ38" s="55" t="s">
        <v>55</v>
      </c>
      <c r="AR38" s="55"/>
      <c r="AS38" s="55"/>
      <c r="AT38" s="53" t="s">
        <v>56</v>
      </c>
      <c r="AU38" s="55"/>
      <c r="AV38" s="55"/>
      <c r="AW38" s="55"/>
      <c r="AX38" s="10"/>
      <c r="AY38" s="43"/>
      <c r="AZ38" s="4"/>
      <c r="BA38" s="55" t="s">
        <v>55</v>
      </c>
      <c r="BB38" s="55"/>
      <c r="BC38" s="55"/>
      <c r="BD38" s="53" t="s">
        <v>56</v>
      </c>
      <c r="BE38" s="55"/>
      <c r="BF38" s="55"/>
      <c r="BG38" s="55"/>
      <c r="BH38" s="10"/>
      <c r="BI38" s="43"/>
      <c r="BJ38" s="4"/>
      <c r="BK38" s="55" t="s">
        <v>60</v>
      </c>
      <c r="BL38" s="55"/>
      <c r="BM38" s="55"/>
      <c r="BN38" s="52" t="s">
        <v>91</v>
      </c>
      <c r="BO38" s="55"/>
      <c r="BP38" s="55"/>
      <c r="BQ38" s="55"/>
      <c r="BR38" s="10"/>
      <c r="BT38" s="4"/>
      <c r="BU38" s="55" t="s">
        <v>60</v>
      </c>
      <c r="BV38" s="55"/>
      <c r="BW38" s="55"/>
      <c r="BX38" s="52" t="s">
        <v>91</v>
      </c>
      <c r="BY38" s="55"/>
      <c r="BZ38" s="55"/>
      <c r="CA38" s="55"/>
      <c r="CB38" s="10"/>
      <c r="CD38" s="4"/>
      <c r="CE38" s="55" t="s">
        <v>60</v>
      </c>
      <c r="CF38" s="55"/>
      <c r="CG38" s="55"/>
      <c r="CH38" s="52" t="s">
        <v>1280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6" t="s">
        <v>63</v>
      </c>
      <c r="D39" s="55"/>
      <c r="E39" s="55"/>
      <c r="F39" s="584" t="s">
        <v>123</v>
      </c>
      <c r="G39" s="46">
        <v>-6</v>
      </c>
      <c r="H39" s="55"/>
      <c r="I39" s="55"/>
      <c r="J39" s="10"/>
      <c r="L39" s="4"/>
      <c r="M39" s="126" t="s">
        <v>63</v>
      </c>
      <c r="N39" s="55"/>
      <c r="O39" s="55"/>
      <c r="P39" s="141" t="s">
        <v>123</v>
      </c>
      <c r="Q39" s="46">
        <v>-1</v>
      </c>
      <c r="R39" s="55"/>
      <c r="S39" s="55"/>
      <c r="T39" s="10"/>
      <c r="V39" s="12"/>
      <c r="W39" s="5" t="s">
        <v>68</v>
      </c>
      <c r="X39" s="13"/>
      <c r="Y39" s="37" t="s">
        <v>69</v>
      </c>
      <c r="Z39" s="351" t="s">
        <v>68</v>
      </c>
      <c r="AA39" s="13"/>
      <c r="AB39" s="5" t="s">
        <v>70</v>
      </c>
      <c r="AC39" s="5"/>
      <c r="AD39" s="13"/>
      <c r="AF39" s="4"/>
      <c r="AG39" s="126" t="s">
        <v>63</v>
      </c>
      <c r="AH39" s="55"/>
      <c r="AI39" s="55"/>
      <c r="AJ39" s="141" t="s">
        <v>123</v>
      </c>
      <c r="AK39" s="46">
        <v>-2</v>
      </c>
      <c r="AL39" s="55"/>
      <c r="AM39" s="55"/>
      <c r="AN39" s="10"/>
      <c r="AP39" s="4"/>
      <c r="AQ39" s="126" t="s">
        <v>63</v>
      </c>
      <c r="AR39" s="55"/>
      <c r="AS39" s="55"/>
      <c r="AT39" s="584" t="s">
        <v>123</v>
      </c>
      <c r="AU39" s="46">
        <v>-1</v>
      </c>
      <c r="AV39" s="55"/>
      <c r="AW39" s="55"/>
      <c r="AX39" s="10"/>
      <c r="AZ39" s="4"/>
      <c r="BA39" s="126" t="s">
        <v>63</v>
      </c>
      <c r="BB39" s="55"/>
      <c r="BC39" s="55"/>
      <c r="BD39" s="584" t="s">
        <v>133</v>
      </c>
      <c r="BE39" s="46">
        <v>-3</v>
      </c>
      <c r="BF39" s="55"/>
      <c r="BG39" s="55"/>
      <c r="BH39" s="10"/>
      <c r="BJ39" s="4"/>
      <c r="BK39" s="55" t="s">
        <v>55</v>
      </c>
      <c r="BL39" s="55"/>
      <c r="BM39" s="55"/>
      <c r="BN39" s="53" t="s">
        <v>56</v>
      </c>
      <c r="BO39" s="55"/>
      <c r="BP39" s="55"/>
      <c r="BQ39" s="55"/>
      <c r="BR39" s="10"/>
      <c r="BS39"/>
      <c r="BT39" s="4"/>
      <c r="BU39" s="55" t="s">
        <v>55</v>
      </c>
      <c r="BV39" s="55"/>
      <c r="BW39" s="55"/>
      <c r="BX39" s="53" t="s">
        <v>56</v>
      </c>
      <c r="BY39" s="55"/>
      <c r="BZ39" s="55"/>
      <c r="CA39" s="55"/>
      <c r="CB39" s="10"/>
      <c r="CC39"/>
      <c r="CD39" s="4"/>
      <c r="CE39" s="126" t="s">
        <v>1278</v>
      </c>
      <c r="CF39" s="55"/>
      <c r="CG39" s="17"/>
      <c r="CH39" s="17" t="s">
        <v>144</v>
      </c>
      <c r="CI39" s="1490" t="s">
        <v>1279</v>
      </c>
      <c r="CK39" s="55"/>
      <c r="CL39" s="10"/>
    </row>
    <row r="40" spans="2:90" ht="15" thickBot="1" x14ac:dyDescent="0.35">
      <c r="B40" s="4"/>
      <c r="C40" s="55" t="s">
        <v>946</v>
      </c>
      <c r="D40" s="55"/>
      <c r="E40" s="55"/>
      <c r="F40" s="54" t="s">
        <v>117</v>
      </c>
      <c r="G40" s="17" t="s">
        <v>92</v>
      </c>
      <c r="H40" s="55"/>
      <c r="I40" s="55"/>
      <c r="J40" s="10"/>
      <c r="L40" s="4"/>
      <c r="M40" s="55" t="s">
        <v>946</v>
      </c>
      <c r="N40" s="55"/>
      <c r="O40" s="55"/>
      <c r="P40" s="54" t="s">
        <v>120</v>
      </c>
      <c r="Q40" s="17" t="s">
        <v>92</v>
      </c>
      <c r="R40" s="55"/>
      <c r="S40" s="55"/>
      <c r="T40" s="10"/>
      <c r="V40" s="1571">
        <f ca="1">TODAY()</f>
        <v>45420</v>
      </c>
      <c r="W40" s="1571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946</v>
      </c>
      <c r="AH40" s="55"/>
      <c r="AI40" s="55"/>
      <c r="AJ40" s="54" t="s">
        <v>117</v>
      </c>
      <c r="AK40" s="17" t="s">
        <v>92</v>
      </c>
      <c r="AL40" s="55"/>
      <c r="AM40" s="55"/>
      <c r="AN40" s="10"/>
      <c r="AO40" s="43"/>
      <c r="AP40" s="4"/>
      <c r="AQ40" s="55" t="s">
        <v>946</v>
      </c>
      <c r="AR40" s="55"/>
      <c r="AS40" s="55"/>
      <c r="AT40" s="54" t="s">
        <v>117</v>
      </c>
      <c r="AU40" s="17" t="s">
        <v>92</v>
      </c>
      <c r="AV40" s="55"/>
      <c r="AW40" s="55"/>
      <c r="AX40" s="10"/>
      <c r="AY40" s="43"/>
      <c r="AZ40" s="4"/>
      <c r="BA40" s="55" t="s">
        <v>946</v>
      </c>
      <c r="BB40" s="55"/>
      <c r="BC40" s="55"/>
      <c r="BD40" s="54" t="s">
        <v>120</v>
      </c>
      <c r="BE40" s="17" t="s">
        <v>92</v>
      </c>
      <c r="BF40" s="55"/>
      <c r="BG40" s="55"/>
      <c r="BH40" s="10"/>
      <c r="BI40" s="43"/>
      <c r="BJ40" s="4"/>
      <c r="BK40" s="126" t="s">
        <v>63</v>
      </c>
      <c r="BL40" s="55"/>
      <c r="BM40" s="55"/>
      <c r="BN40" s="141" t="s">
        <v>123</v>
      </c>
      <c r="BO40" s="55"/>
      <c r="BP40" s="55"/>
      <c r="BQ40" s="55"/>
      <c r="BR40" s="10"/>
      <c r="BS40" s="43"/>
      <c r="BT40" s="4"/>
      <c r="BU40" s="126" t="s">
        <v>63</v>
      </c>
      <c r="BV40" s="55"/>
      <c r="BW40" s="55"/>
      <c r="BX40" s="141" t="s">
        <v>133</v>
      </c>
      <c r="BY40" s="46">
        <v>-1</v>
      </c>
      <c r="BZ40" s="55"/>
      <c r="CA40" s="55"/>
      <c r="CB40" s="10"/>
      <c r="CC40" s="43"/>
      <c r="CD40" s="4"/>
      <c r="CE40" s="55" t="s">
        <v>66</v>
      </c>
      <c r="CF40" s="55"/>
      <c r="CG40" s="17"/>
      <c r="CH40" s="17" t="s">
        <v>67</v>
      </c>
      <c r="CI40" s="55"/>
      <c r="CJ40" s="55"/>
      <c r="CK40" s="55"/>
      <c r="CL40" s="10"/>
    </row>
    <row r="41" spans="2:90" ht="15" thickBot="1" x14ac:dyDescent="0.35">
      <c r="B41" s="4"/>
      <c r="C41" s="55" t="s">
        <v>50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50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71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50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50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50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946</v>
      </c>
      <c r="BL41" s="55"/>
      <c r="BM41" s="55"/>
      <c r="BN41" s="54" t="s">
        <v>117</v>
      </c>
      <c r="BO41" s="17" t="s">
        <v>92</v>
      </c>
      <c r="BP41" s="55"/>
      <c r="BQ41" s="55"/>
      <c r="BR41" s="10"/>
      <c r="BT41" s="4"/>
      <c r="BU41" s="55" t="s">
        <v>946</v>
      </c>
      <c r="BV41" s="55"/>
      <c r="BW41" s="55"/>
      <c r="BX41" s="54" t="s">
        <v>130</v>
      </c>
      <c r="BY41" s="17" t="s">
        <v>92</v>
      </c>
      <c r="BZ41" s="55"/>
      <c r="CA41" s="55"/>
      <c r="CB41" s="10"/>
      <c r="CD41" s="1636" t="s">
        <v>68</v>
      </c>
      <c r="CE41" s="1638"/>
      <c r="CF41" s="1637"/>
      <c r="CG41" s="37" t="s">
        <v>69</v>
      </c>
      <c r="CH41" s="1636" t="s">
        <v>68</v>
      </c>
      <c r="CI41" s="1637"/>
      <c r="CJ41" s="5" t="s">
        <v>70</v>
      </c>
      <c r="CK41" s="5"/>
      <c r="CL41" s="13"/>
    </row>
    <row r="42" spans="2:90" ht="15" thickBot="1" x14ac:dyDescent="0.35">
      <c r="B42" s="4"/>
      <c r="C42" s="55" t="s">
        <v>52</v>
      </c>
      <c r="D42" s="55"/>
      <c r="E42" s="55"/>
      <c r="F42" s="53" t="s">
        <v>121</v>
      </c>
      <c r="G42" s="55"/>
      <c r="H42" s="55"/>
      <c r="I42" s="55"/>
      <c r="J42" s="10"/>
      <c r="L42" s="4"/>
      <c r="M42" s="55" t="s">
        <v>52</v>
      </c>
      <c r="N42" s="55"/>
      <c r="O42" s="55"/>
      <c r="P42" s="53" t="s">
        <v>93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52</v>
      </c>
      <c r="AH42" s="55"/>
      <c r="AI42" s="55"/>
      <c r="AJ42" s="53" t="s">
        <v>93</v>
      </c>
      <c r="AK42" s="55"/>
      <c r="AL42" s="55"/>
      <c r="AM42" s="55"/>
      <c r="AN42" s="10"/>
      <c r="AO42" s="43"/>
      <c r="AP42" s="4"/>
      <c r="AQ42" s="55" t="s">
        <v>52</v>
      </c>
      <c r="AR42" s="55"/>
      <c r="AS42" s="55"/>
      <c r="AT42" s="53" t="s">
        <v>93</v>
      </c>
      <c r="AU42" s="55"/>
      <c r="AV42" s="55"/>
      <c r="AW42" s="55"/>
      <c r="AX42" s="10"/>
      <c r="AY42" s="43"/>
      <c r="AZ42" s="4"/>
      <c r="BA42" s="55" t="s">
        <v>52</v>
      </c>
      <c r="BB42" s="55"/>
      <c r="BC42" s="55"/>
      <c r="BD42" s="53" t="s">
        <v>93</v>
      </c>
      <c r="BE42" s="55"/>
      <c r="BF42" s="55"/>
      <c r="BG42" s="55"/>
      <c r="BH42" s="10"/>
      <c r="BI42" s="43"/>
      <c r="BJ42" s="4"/>
      <c r="BK42" s="55" t="s">
        <v>50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50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639">
        <f ca="1">TODAY()</f>
        <v>45420</v>
      </c>
      <c r="CE42" s="1536"/>
      <c r="CF42" s="1537"/>
      <c r="CG42" s="1470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66</v>
      </c>
      <c r="D43" s="55"/>
      <c r="E43" s="17"/>
      <c r="F43" s="17" t="s">
        <v>1142</v>
      </c>
      <c r="G43" s="55"/>
      <c r="H43" s="55"/>
      <c r="I43" s="55"/>
      <c r="J43" s="10"/>
      <c r="L43" s="4"/>
      <c r="M43" s="55" t="s">
        <v>66</v>
      </c>
      <c r="N43" s="55"/>
      <c r="O43" s="17"/>
      <c r="P43" s="17" t="s">
        <v>67</v>
      </c>
      <c r="Q43" s="55"/>
      <c r="R43" s="55"/>
      <c r="S43" s="55"/>
      <c r="T43" s="10"/>
      <c r="V43" s="108" t="s">
        <v>6</v>
      </c>
      <c r="W43" s="444"/>
      <c r="X43" s="445"/>
      <c r="Y43" s="111" t="s">
        <v>297</v>
      </c>
      <c r="Z43" s="112" t="s">
        <v>298</v>
      </c>
      <c r="AA43" s="111" t="s">
        <v>298</v>
      </c>
      <c r="AB43" s="111" t="s">
        <v>299</v>
      </c>
      <c r="AC43" s="108" t="s">
        <v>300</v>
      </c>
      <c r="AD43" s="445"/>
      <c r="AE43" s="43"/>
      <c r="AF43" s="4"/>
      <c r="AG43" s="55" t="s">
        <v>66</v>
      </c>
      <c r="AH43" s="55"/>
      <c r="AI43" s="17"/>
      <c r="AJ43" s="17" t="s">
        <v>67</v>
      </c>
      <c r="AK43" s="55"/>
      <c r="AL43" s="55"/>
      <c r="AM43" s="55"/>
      <c r="AN43" s="10"/>
      <c r="AO43" s="43"/>
      <c r="AP43" s="4"/>
      <c r="AQ43" s="55" t="s">
        <v>66</v>
      </c>
      <c r="AR43" s="55"/>
      <c r="AS43" s="17"/>
      <c r="AT43" s="17" t="s">
        <v>67</v>
      </c>
      <c r="AU43" s="55"/>
      <c r="AV43" s="55"/>
      <c r="AW43" s="55"/>
      <c r="AX43" s="10"/>
      <c r="AY43" s="43"/>
      <c r="AZ43" s="4"/>
      <c r="BA43" s="55" t="s">
        <v>66</v>
      </c>
      <c r="BB43" s="55"/>
      <c r="BC43" s="17"/>
      <c r="BD43" s="17" t="s">
        <v>67</v>
      </c>
      <c r="BE43" s="55"/>
      <c r="BF43" s="55"/>
      <c r="BG43" s="55"/>
      <c r="BH43" s="10"/>
      <c r="BI43" s="43"/>
      <c r="BJ43" s="4"/>
      <c r="BK43" s="55" t="s">
        <v>52</v>
      </c>
      <c r="BL43" s="55"/>
      <c r="BM43" s="55"/>
      <c r="BN43" s="53" t="s">
        <v>93</v>
      </c>
      <c r="BO43" s="55"/>
      <c r="BP43" s="55"/>
      <c r="BQ43" s="55"/>
      <c r="BR43" s="10"/>
      <c r="BT43" s="4"/>
      <c r="BU43" s="55" t="s">
        <v>52</v>
      </c>
      <c r="BV43" s="55"/>
      <c r="BW43" s="55"/>
      <c r="BX43" s="53" t="s">
        <v>93</v>
      </c>
      <c r="BY43" s="55"/>
      <c r="BZ43" s="55"/>
      <c r="CA43" s="55"/>
      <c r="CB43" s="10"/>
      <c r="CD43" s="1636" t="s">
        <v>71</v>
      </c>
      <c r="CE43" s="1638"/>
      <c r="CF43" s="1637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94</v>
      </c>
      <c r="D44" s="55"/>
      <c r="E44" s="17"/>
      <c r="F44" s="17" t="s">
        <v>58</v>
      </c>
      <c r="G44" s="55"/>
      <c r="H44" s="55"/>
      <c r="I44" s="55"/>
      <c r="J44" s="10"/>
      <c r="L44" s="4"/>
      <c r="M44" s="55" t="s">
        <v>94</v>
      </c>
      <c r="N44" s="55"/>
      <c r="O44" s="17"/>
      <c r="P44" s="17" t="s">
        <v>58</v>
      </c>
      <c r="Q44" s="55"/>
      <c r="R44" s="55"/>
      <c r="S44" s="55"/>
      <c r="T44" s="10"/>
      <c r="V44" s="113"/>
      <c r="W44" s="446" t="s">
        <v>301</v>
      </c>
      <c r="X44" s="447"/>
      <c r="Y44" s="115" t="s">
        <v>302</v>
      </c>
      <c r="Z44" s="115" t="s">
        <v>303</v>
      </c>
      <c r="AA44" s="115" t="s">
        <v>304</v>
      </c>
      <c r="AB44" s="115"/>
      <c r="AC44" s="116" t="s">
        <v>305</v>
      </c>
      <c r="AD44" s="447"/>
      <c r="AE44" s="43"/>
      <c r="AF44" s="4"/>
      <c r="AG44" s="55" t="s">
        <v>94</v>
      </c>
      <c r="AH44" s="55"/>
      <c r="AI44" s="17"/>
      <c r="AJ44" s="17" t="s">
        <v>58</v>
      </c>
      <c r="AK44" s="55"/>
      <c r="AL44" s="55"/>
      <c r="AM44" s="55"/>
      <c r="AN44" s="10"/>
      <c r="AO44" s="43"/>
      <c r="AP44" s="4"/>
      <c r="AQ44" s="55" t="s">
        <v>94</v>
      </c>
      <c r="AR44" s="55"/>
      <c r="AS44" s="17"/>
      <c r="AT44" s="173" t="s">
        <v>58</v>
      </c>
      <c r="AU44" s="55"/>
      <c r="AV44" s="55"/>
      <c r="AW44" s="55"/>
      <c r="AX44" s="10"/>
      <c r="AY44" s="43"/>
      <c r="AZ44" s="4"/>
      <c r="BA44" s="55" t="s">
        <v>94</v>
      </c>
      <c r="BB44" s="55"/>
      <c r="BC44" s="17"/>
      <c r="BD44" s="173" t="s">
        <v>58</v>
      </c>
      <c r="BE44" s="55"/>
      <c r="BF44" s="55"/>
      <c r="BG44" s="55"/>
      <c r="BH44" s="10"/>
      <c r="BI44" s="43"/>
      <c r="BJ44" s="4"/>
      <c r="BK44" s="55" t="s">
        <v>66</v>
      </c>
      <c r="BL44" s="55"/>
      <c r="BM44" s="17"/>
      <c r="BN44" s="17" t="s">
        <v>67</v>
      </c>
      <c r="BO44" s="55"/>
      <c r="BP44" s="55"/>
      <c r="BQ44" s="55"/>
      <c r="BR44" s="10"/>
      <c r="BT44" s="4"/>
      <c r="BU44" s="55" t="s">
        <v>66</v>
      </c>
      <c r="BV44" s="55"/>
      <c r="BW44" s="17"/>
      <c r="BX44" s="17" t="s">
        <v>67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68</v>
      </c>
      <c r="D45" s="13"/>
      <c r="E45" s="37" t="s">
        <v>69</v>
      </c>
      <c r="F45" s="38" t="s">
        <v>68</v>
      </c>
      <c r="G45" s="13"/>
      <c r="H45" s="5" t="s">
        <v>70</v>
      </c>
      <c r="I45" s="5"/>
      <c r="J45" s="13"/>
      <c r="L45" s="12"/>
      <c r="M45" s="5" t="s">
        <v>68</v>
      </c>
      <c r="N45" s="13"/>
      <c r="O45" s="37" t="s">
        <v>69</v>
      </c>
      <c r="P45" s="351" t="s">
        <v>68</v>
      </c>
      <c r="Q45" s="13"/>
      <c r="R45" s="5" t="s">
        <v>70</v>
      </c>
      <c r="S45" s="5"/>
      <c r="T45" s="13"/>
      <c r="V45" s="113"/>
      <c r="W45" s="446" t="s">
        <v>405</v>
      </c>
      <c r="X45" s="446"/>
      <c r="Y45" s="200">
        <v>40</v>
      </c>
      <c r="Z45" s="201">
        <v>1</v>
      </c>
      <c r="AA45" s="200">
        <v>20</v>
      </c>
      <c r="AB45" s="115">
        <v>3</v>
      </c>
      <c r="AC45" s="1534">
        <f>ROUND(Z$10/AE51,3)</f>
        <v>1.621</v>
      </c>
      <c r="AD45" s="1535"/>
      <c r="AE45" s="43"/>
      <c r="AF45" s="12"/>
      <c r="AG45" s="5" t="s">
        <v>68</v>
      </c>
      <c r="AH45" s="13"/>
      <c r="AI45" s="37" t="s">
        <v>69</v>
      </c>
      <c r="AJ45" s="38" t="s">
        <v>68</v>
      </c>
      <c r="AK45" s="13"/>
      <c r="AL45" s="5" t="s">
        <v>70</v>
      </c>
      <c r="AM45" s="5"/>
      <c r="AN45" s="13"/>
      <c r="AO45" s="43"/>
      <c r="AP45" s="12"/>
      <c r="AQ45" s="5" t="s">
        <v>68</v>
      </c>
      <c r="AR45" s="13"/>
      <c r="AS45" s="37" t="s">
        <v>69</v>
      </c>
      <c r="AT45" s="38" t="s">
        <v>68</v>
      </c>
      <c r="AU45" s="13"/>
      <c r="AV45" s="5" t="s">
        <v>70</v>
      </c>
      <c r="AW45" s="5"/>
      <c r="AX45" s="13"/>
      <c r="AY45" s="43"/>
      <c r="AZ45" s="12"/>
      <c r="BA45" s="5" t="s">
        <v>68</v>
      </c>
      <c r="BB45" s="13"/>
      <c r="BC45" s="37" t="s">
        <v>69</v>
      </c>
      <c r="BD45" s="38" t="s">
        <v>68</v>
      </c>
      <c r="BE45" s="13"/>
      <c r="BF45" s="5" t="s">
        <v>70</v>
      </c>
      <c r="BG45" s="5"/>
      <c r="BH45" s="13"/>
      <c r="BI45" s="43"/>
      <c r="BJ45" s="4"/>
      <c r="BK45" s="55" t="s">
        <v>94</v>
      </c>
      <c r="BL45" s="55"/>
      <c r="BM45" s="17"/>
      <c r="BN45" s="17" t="s">
        <v>58</v>
      </c>
      <c r="BO45" s="55"/>
      <c r="BP45" s="55"/>
      <c r="BQ45" s="55"/>
      <c r="BR45" s="10"/>
      <c r="BT45" s="4"/>
      <c r="BU45" s="55" t="s">
        <v>94</v>
      </c>
      <c r="BV45" s="55"/>
      <c r="BW45" s="17"/>
      <c r="BX45" s="17" t="s">
        <v>58</v>
      </c>
      <c r="BY45" s="55"/>
      <c r="BZ45" s="55"/>
      <c r="CA45" s="55"/>
      <c r="CB45" s="10"/>
      <c r="CD45" s="1573" t="s">
        <v>6</v>
      </c>
      <c r="CE45" s="1574"/>
      <c r="CF45" s="1575"/>
      <c r="CG45" s="111" t="s">
        <v>297</v>
      </c>
      <c r="CH45" s="112" t="s">
        <v>298</v>
      </c>
      <c r="CI45" s="111" t="s">
        <v>298</v>
      </c>
      <c r="CJ45" s="111" t="s">
        <v>299</v>
      </c>
      <c r="CK45" s="108" t="s">
        <v>300</v>
      </c>
      <c r="CL45" s="1472"/>
    </row>
    <row r="46" spans="2:90" ht="15" thickBot="1" x14ac:dyDescent="0.35">
      <c r="B46" s="1571">
        <f ca="1">TODAY()</f>
        <v>45420</v>
      </c>
      <c r="C46" s="1571"/>
      <c r="D46" s="3"/>
      <c r="E46" s="39"/>
      <c r="F46" s="1"/>
      <c r="G46" s="3"/>
      <c r="H46" s="2"/>
      <c r="I46" s="2"/>
      <c r="J46" s="3"/>
      <c r="L46" s="1571">
        <f ca="1">TODAY()</f>
        <v>45420</v>
      </c>
      <c r="M46" s="1571"/>
      <c r="N46" s="3"/>
      <c r="O46" s="39"/>
      <c r="P46" s="1"/>
      <c r="Q46" s="3"/>
      <c r="R46" s="2"/>
      <c r="S46" s="2"/>
      <c r="T46" s="3"/>
      <c r="AE46" s="43"/>
      <c r="AF46" s="1571">
        <f ca="1">TODAY()</f>
        <v>45420</v>
      </c>
      <c r="AG46" s="1571"/>
      <c r="AH46" s="3"/>
      <c r="AI46" s="39"/>
      <c r="AJ46" s="1"/>
      <c r="AK46" s="3"/>
      <c r="AL46" s="2"/>
      <c r="AM46" s="2"/>
      <c r="AN46" s="3"/>
      <c r="AO46" s="43"/>
      <c r="AP46" s="1571">
        <f ca="1">TODAY()</f>
        <v>45420</v>
      </c>
      <c r="AQ46" s="1571"/>
      <c r="AR46" s="3"/>
      <c r="AS46" s="39"/>
      <c r="AT46" s="1"/>
      <c r="AU46" s="3"/>
      <c r="AV46" s="2"/>
      <c r="AW46" s="2"/>
      <c r="AX46" s="3"/>
      <c r="AY46" s="43"/>
      <c r="AZ46" s="1571">
        <f ca="1">TODAY()</f>
        <v>45420</v>
      </c>
      <c r="BA46" s="1571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68</v>
      </c>
      <c r="BL46" s="13"/>
      <c r="BM46" s="37" t="s">
        <v>69</v>
      </c>
      <c r="BN46" s="38" t="s">
        <v>68</v>
      </c>
      <c r="BO46" s="13"/>
      <c r="BP46" s="5" t="s">
        <v>70</v>
      </c>
      <c r="BQ46" s="5"/>
      <c r="BR46" s="13"/>
      <c r="BT46" s="12"/>
      <c r="BU46" s="5" t="s">
        <v>68</v>
      </c>
      <c r="BV46" s="13"/>
      <c r="BW46" s="37" t="s">
        <v>69</v>
      </c>
      <c r="BX46" s="38" t="s">
        <v>68</v>
      </c>
      <c r="BY46" s="13"/>
      <c r="BZ46" s="5" t="s">
        <v>70</v>
      </c>
      <c r="CA46" s="5"/>
      <c r="CB46" s="13"/>
      <c r="CD46" s="1552" t="s">
        <v>301</v>
      </c>
      <c r="CE46" s="1576"/>
      <c r="CF46" s="1553"/>
      <c r="CG46" s="115" t="s">
        <v>302</v>
      </c>
      <c r="CH46" s="115" t="s">
        <v>303</v>
      </c>
      <c r="CI46" s="115" t="s">
        <v>304</v>
      </c>
      <c r="CJ46" s="115"/>
      <c r="CK46" s="116" t="s">
        <v>305</v>
      </c>
      <c r="CL46" s="1469"/>
    </row>
    <row r="47" spans="2:90" ht="15" thickBot="1" x14ac:dyDescent="0.35">
      <c r="B47" s="77"/>
      <c r="C47" s="20" t="s">
        <v>71</v>
      </c>
      <c r="D47" s="3"/>
      <c r="E47" s="21"/>
      <c r="F47" s="20"/>
      <c r="G47" s="20"/>
      <c r="H47" s="20"/>
      <c r="I47" s="20"/>
      <c r="J47" s="40"/>
      <c r="L47" s="77"/>
      <c r="M47" s="20" t="s">
        <v>71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71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71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71</v>
      </c>
      <c r="BB47" s="3"/>
      <c r="BC47" s="21"/>
      <c r="BD47" s="20"/>
      <c r="BE47" s="20"/>
      <c r="BF47" s="20"/>
      <c r="BG47" s="20"/>
      <c r="BH47" s="40"/>
      <c r="BI47" s="43"/>
      <c r="BJ47" s="1571">
        <f ca="1">TODAY()</f>
        <v>45420</v>
      </c>
      <c r="BK47" s="1571"/>
      <c r="BL47" s="3"/>
      <c r="BM47" s="39"/>
      <c r="BN47" s="1"/>
      <c r="BO47" s="3"/>
      <c r="BP47" s="2"/>
      <c r="BQ47" s="2"/>
      <c r="BR47" s="3"/>
      <c r="BT47" s="1571">
        <f ca="1">TODAY()</f>
        <v>45420</v>
      </c>
      <c r="BU47" s="1571"/>
      <c r="BV47" s="3"/>
      <c r="BW47" s="39"/>
      <c r="BX47" s="1"/>
      <c r="BY47" s="3"/>
      <c r="BZ47" s="2"/>
      <c r="CA47" s="2"/>
      <c r="CB47" s="3"/>
      <c r="CD47" s="1534" t="s">
        <v>405</v>
      </c>
      <c r="CE47" s="1572"/>
      <c r="CF47" s="1535"/>
      <c r="CG47" s="200">
        <v>40</v>
      </c>
      <c r="CH47" s="1471">
        <v>1</v>
      </c>
      <c r="CI47" s="200">
        <v>20</v>
      </c>
      <c r="CJ47" s="115">
        <v>3</v>
      </c>
      <c r="CK47" s="1534">
        <f>ROUND(CH$11/CM52,3)</f>
        <v>0.95699999999999996</v>
      </c>
      <c r="CL47" s="1535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71</v>
      </c>
      <c r="BL48" s="3"/>
      <c r="BM48" s="21"/>
      <c r="BN48" s="20"/>
      <c r="BO48" s="20"/>
      <c r="BP48" s="20"/>
      <c r="BQ48" s="20"/>
      <c r="BR48" s="40"/>
      <c r="BT48" s="77"/>
      <c r="BU48" s="20" t="s">
        <v>71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8" t="s">
        <v>6</v>
      </c>
      <c r="C49" s="208"/>
      <c r="D49" s="206"/>
      <c r="E49" s="111" t="s">
        <v>297</v>
      </c>
      <c r="F49" s="112" t="s">
        <v>298</v>
      </c>
      <c r="G49" s="111" t="s">
        <v>298</v>
      </c>
      <c r="H49" s="111" t="s">
        <v>299</v>
      </c>
      <c r="I49" s="108" t="s">
        <v>300</v>
      </c>
      <c r="J49" s="206"/>
      <c r="L49" s="108" t="s">
        <v>6</v>
      </c>
      <c r="M49" s="345"/>
      <c r="N49" s="346"/>
      <c r="O49" s="111" t="s">
        <v>297</v>
      </c>
      <c r="P49" s="112" t="s">
        <v>298</v>
      </c>
      <c r="Q49" s="111" t="s">
        <v>298</v>
      </c>
      <c r="R49" s="111" t="s">
        <v>299</v>
      </c>
      <c r="S49" s="108" t="s">
        <v>300</v>
      </c>
      <c r="T49" s="346"/>
      <c r="AE49" s="43"/>
      <c r="AF49" s="108" t="s">
        <v>6</v>
      </c>
      <c r="AG49" s="449"/>
      <c r="AH49" s="450"/>
      <c r="AI49" s="111" t="s">
        <v>297</v>
      </c>
      <c r="AJ49" s="112" t="s">
        <v>298</v>
      </c>
      <c r="AK49" s="111" t="s">
        <v>298</v>
      </c>
      <c r="AL49" s="111" t="s">
        <v>299</v>
      </c>
      <c r="AM49" s="108" t="s">
        <v>300</v>
      </c>
      <c r="AN49" s="450"/>
      <c r="AO49" s="43"/>
      <c r="AP49" s="108" t="s">
        <v>6</v>
      </c>
      <c r="AQ49" s="520"/>
      <c r="AR49" s="521"/>
      <c r="AS49" s="111" t="s">
        <v>297</v>
      </c>
      <c r="AT49" s="112" t="s">
        <v>298</v>
      </c>
      <c r="AU49" s="111" t="s">
        <v>298</v>
      </c>
      <c r="AV49" s="111" t="s">
        <v>299</v>
      </c>
      <c r="AW49" s="108" t="s">
        <v>300</v>
      </c>
      <c r="AX49" s="521"/>
      <c r="AY49" s="43"/>
      <c r="AZ49" s="108" t="s">
        <v>6</v>
      </c>
      <c r="BA49" s="1125"/>
      <c r="BB49" s="1126"/>
      <c r="BC49" s="111" t="s">
        <v>297</v>
      </c>
      <c r="BD49" s="112" t="s">
        <v>298</v>
      </c>
      <c r="BE49" s="111" t="s">
        <v>298</v>
      </c>
      <c r="BF49" s="111" t="s">
        <v>299</v>
      </c>
      <c r="BG49" s="108" t="s">
        <v>300</v>
      </c>
      <c r="BH49" s="1126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13"/>
      <c r="C50" s="114" t="s">
        <v>301</v>
      </c>
      <c r="D50" s="207"/>
      <c r="E50" s="115" t="s">
        <v>302</v>
      </c>
      <c r="F50" s="115" t="s">
        <v>303</v>
      </c>
      <c r="G50" s="115" t="s">
        <v>304</v>
      </c>
      <c r="H50" s="115"/>
      <c r="I50" s="116" t="s">
        <v>305</v>
      </c>
      <c r="J50" s="207"/>
      <c r="L50" s="113"/>
      <c r="M50" s="347" t="s">
        <v>301</v>
      </c>
      <c r="N50" s="348"/>
      <c r="O50" s="115" t="s">
        <v>302</v>
      </c>
      <c r="P50" s="115" t="s">
        <v>303</v>
      </c>
      <c r="Q50" s="115" t="s">
        <v>304</v>
      </c>
      <c r="R50" s="115"/>
      <c r="S50" s="116" t="s">
        <v>305</v>
      </c>
      <c r="T50" s="348"/>
      <c r="AE50" s="43"/>
      <c r="AF50" s="113"/>
      <c r="AG50" s="451" t="s">
        <v>301</v>
      </c>
      <c r="AH50" s="452"/>
      <c r="AI50" s="115" t="s">
        <v>302</v>
      </c>
      <c r="AJ50" s="115" t="s">
        <v>303</v>
      </c>
      <c r="AK50" s="115" t="s">
        <v>304</v>
      </c>
      <c r="AL50" s="115"/>
      <c r="AM50" s="116" t="s">
        <v>305</v>
      </c>
      <c r="AN50" s="452"/>
      <c r="AO50" s="43"/>
      <c r="AP50" s="113"/>
      <c r="AQ50" s="522" t="s">
        <v>301</v>
      </c>
      <c r="AR50" s="523"/>
      <c r="AS50" s="115" t="s">
        <v>302</v>
      </c>
      <c r="AT50" s="115" t="s">
        <v>303</v>
      </c>
      <c r="AU50" s="115" t="s">
        <v>304</v>
      </c>
      <c r="AV50" s="115"/>
      <c r="AW50" s="116" t="s">
        <v>305</v>
      </c>
      <c r="AX50" s="523"/>
      <c r="AY50" s="43"/>
      <c r="AZ50" s="113"/>
      <c r="BA50" s="1127" t="s">
        <v>301</v>
      </c>
      <c r="BB50" s="1123"/>
      <c r="BC50" s="115" t="s">
        <v>302</v>
      </c>
      <c r="BD50" s="115" t="s">
        <v>303</v>
      </c>
      <c r="BE50" s="115" t="s">
        <v>304</v>
      </c>
      <c r="BF50" s="115"/>
      <c r="BG50" s="116" t="s">
        <v>305</v>
      </c>
      <c r="BH50" s="1123"/>
      <c r="BI50" s="43"/>
      <c r="BJ50" s="108" t="s">
        <v>6</v>
      </c>
      <c r="BK50" s="109"/>
      <c r="BL50" s="110"/>
      <c r="BM50" s="111" t="s">
        <v>297</v>
      </c>
      <c r="BN50" s="112" t="s">
        <v>298</v>
      </c>
      <c r="BO50" s="111" t="s">
        <v>298</v>
      </c>
      <c r="BP50" s="111" t="s">
        <v>299</v>
      </c>
      <c r="BQ50" s="108" t="s">
        <v>300</v>
      </c>
      <c r="BR50" s="110"/>
      <c r="BT50" s="108" t="s">
        <v>6</v>
      </c>
      <c r="BU50" s="109"/>
      <c r="BV50" s="110"/>
      <c r="BW50" s="111" t="s">
        <v>297</v>
      </c>
      <c r="BX50" s="112" t="s">
        <v>298</v>
      </c>
      <c r="BY50" s="111" t="s">
        <v>298</v>
      </c>
      <c r="BZ50" s="111" t="s">
        <v>299</v>
      </c>
      <c r="CA50" s="108" t="s">
        <v>300</v>
      </c>
      <c r="CB50" s="110"/>
    </row>
    <row r="51" spans="2:91" ht="15" thickBot="1" x14ac:dyDescent="0.35">
      <c r="B51" s="113"/>
      <c r="C51" s="114" t="s">
        <v>405</v>
      </c>
      <c r="D51" s="114"/>
      <c r="E51" s="200">
        <v>40</v>
      </c>
      <c r="F51" s="201">
        <v>1</v>
      </c>
      <c r="G51" s="200">
        <v>20</v>
      </c>
      <c r="H51" s="115">
        <v>3</v>
      </c>
      <c r="I51" s="1534">
        <f>ROUND(F$12/K51,3)</f>
        <v>31.553999999999998</v>
      </c>
      <c r="J51" s="1535"/>
      <c r="K51" s="210">
        <v>98.72</v>
      </c>
      <c r="L51" s="113"/>
      <c r="M51" s="347" t="s">
        <v>405</v>
      </c>
      <c r="N51" s="347"/>
      <c r="O51" s="200">
        <v>40</v>
      </c>
      <c r="P51" s="201">
        <v>1</v>
      </c>
      <c r="Q51" s="200">
        <v>20</v>
      </c>
      <c r="R51" s="115">
        <v>3</v>
      </c>
      <c r="S51" s="1534">
        <f>ROUND(P$12/U51,3)</f>
        <v>8.4079999999999995</v>
      </c>
      <c r="T51" s="1535"/>
      <c r="U51" s="210">
        <v>98.72</v>
      </c>
      <c r="AD51" s="59"/>
      <c r="AE51" s="586">
        <v>98.72</v>
      </c>
      <c r="AF51" s="113"/>
      <c r="AG51" s="451" t="s">
        <v>405</v>
      </c>
      <c r="AH51" s="451"/>
      <c r="AI51" s="200">
        <v>40</v>
      </c>
      <c r="AJ51" s="453">
        <v>1</v>
      </c>
      <c r="AK51" s="200">
        <v>20</v>
      </c>
      <c r="AL51" s="115">
        <v>3</v>
      </c>
      <c r="AM51" s="1534">
        <f>ROUND(AJ$12/AO51,3)</f>
        <v>9.5730000000000004</v>
      </c>
      <c r="AN51" s="1535"/>
      <c r="AO51" s="210">
        <v>98.72</v>
      </c>
      <c r="AP51" s="113"/>
      <c r="AQ51" s="522" t="s">
        <v>405</v>
      </c>
      <c r="AR51" s="522"/>
      <c r="AS51" s="200">
        <v>40</v>
      </c>
      <c r="AT51" s="525">
        <v>1</v>
      </c>
      <c r="AU51" s="200">
        <v>20</v>
      </c>
      <c r="AV51" s="115">
        <v>3</v>
      </c>
      <c r="AW51" s="1534">
        <f>ROUND(AT$12/AY51,3)</f>
        <v>7.04</v>
      </c>
      <c r="AX51" s="1535"/>
      <c r="AY51" s="210">
        <v>98.72</v>
      </c>
      <c r="AZ51" s="113"/>
      <c r="BA51" s="1127" t="s">
        <v>405</v>
      </c>
      <c r="BB51" s="1127"/>
      <c r="BC51" s="200">
        <v>40</v>
      </c>
      <c r="BD51" s="1124">
        <v>1</v>
      </c>
      <c r="BE51" s="200">
        <v>20</v>
      </c>
      <c r="BF51" s="115">
        <v>3</v>
      </c>
      <c r="BG51" s="1534">
        <f>ROUND(BD$12/BI51,3)</f>
        <v>10.265000000000001</v>
      </c>
      <c r="BH51" s="1535"/>
      <c r="BI51" s="210">
        <v>170</v>
      </c>
      <c r="BJ51" s="113"/>
      <c r="BK51" s="114" t="s">
        <v>301</v>
      </c>
      <c r="BL51" s="199"/>
      <c r="BM51" s="115" t="s">
        <v>302</v>
      </c>
      <c r="BN51" s="115" t="s">
        <v>303</v>
      </c>
      <c r="BO51" s="115" t="s">
        <v>304</v>
      </c>
      <c r="BP51" s="115"/>
      <c r="BQ51" s="116" t="s">
        <v>305</v>
      </c>
      <c r="BR51" s="199"/>
      <c r="BT51" s="113"/>
      <c r="BU51" s="114" t="s">
        <v>301</v>
      </c>
      <c r="BV51" s="199"/>
      <c r="BW51" s="115" t="s">
        <v>302</v>
      </c>
      <c r="BX51" s="115" t="s">
        <v>303</v>
      </c>
      <c r="BY51" s="115" t="s">
        <v>304</v>
      </c>
      <c r="BZ51" s="115"/>
      <c r="CA51" s="116" t="s">
        <v>305</v>
      </c>
      <c r="CB51" s="199"/>
    </row>
    <row r="52" spans="2:91" ht="15" thickBot="1" x14ac:dyDescent="0.35">
      <c r="BJ52" s="113"/>
      <c r="BK52" s="114" t="s">
        <v>405</v>
      </c>
      <c r="BL52" s="114"/>
      <c r="BM52" s="200">
        <v>40</v>
      </c>
      <c r="BN52" s="201">
        <v>1</v>
      </c>
      <c r="BO52" s="200">
        <v>20</v>
      </c>
      <c r="BP52" s="115">
        <v>3</v>
      </c>
      <c r="BQ52" s="1534">
        <f>ROUND($BN$13/BS52,3)</f>
        <v>2.492</v>
      </c>
      <c r="BR52" s="1535"/>
      <c r="BS52" s="210">
        <v>98.72</v>
      </c>
      <c r="BT52" s="113"/>
      <c r="BU52" s="114" t="s">
        <v>405</v>
      </c>
      <c r="BV52" s="114"/>
      <c r="BW52" s="200">
        <v>40</v>
      </c>
      <c r="BX52" s="201">
        <v>1</v>
      </c>
      <c r="BY52" s="200">
        <v>20</v>
      </c>
      <c r="BZ52" s="115">
        <v>3</v>
      </c>
      <c r="CA52" s="1534">
        <f>ROUND(BX$13/CC52,3)</f>
        <v>6.9390000000000001</v>
      </c>
      <c r="CB52" s="1535"/>
      <c r="CC52" s="210">
        <v>98.72</v>
      </c>
      <c r="CM52">
        <v>98.72</v>
      </c>
    </row>
    <row r="55" spans="2:91" x14ac:dyDescent="0.3">
      <c r="C55" s="43"/>
      <c r="D55" s="43" t="s">
        <v>4</v>
      </c>
      <c r="E55" s="43" t="s">
        <v>848</v>
      </c>
    </row>
    <row r="56" spans="2:91" x14ac:dyDescent="0.3">
      <c r="C56" s="43"/>
      <c r="D56" s="43"/>
      <c r="E56" s="43"/>
    </row>
    <row r="57" spans="2:91" x14ac:dyDescent="0.3">
      <c r="C57" s="43" t="s">
        <v>849</v>
      </c>
      <c r="D57" s="46" t="s">
        <v>338</v>
      </c>
      <c r="E57" s="702">
        <v>1</v>
      </c>
    </row>
    <row r="58" spans="2:91" x14ac:dyDescent="0.3">
      <c r="C58" s="43" t="s">
        <v>849</v>
      </c>
      <c r="D58" s="43" t="s">
        <v>365</v>
      </c>
      <c r="E58" s="43">
        <v>1</v>
      </c>
    </row>
    <row r="59" spans="2:91" x14ac:dyDescent="0.3">
      <c r="C59" s="43" t="s">
        <v>849</v>
      </c>
      <c r="D59" s="43" t="s">
        <v>410</v>
      </c>
      <c r="E59" s="702">
        <v>1</v>
      </c>
    </row>
    <row r="60" spans="2:91" x14ac:dyDescent="0.3">
      <c r="C60" s="43" t="s">
        <v>849</v>
      </c>
      <c r="D60" s="702" t="s">
        <v>1132</v>
      </c>
      <c r="E60" s="702">
        <v>1</v>
      </c>
    </row>
    <row r="61" spans="2:91" x14ac:dyDescent="0.3">
      <c r="C61" s="43" t="s">
        <v>849</v>
      </c>
      <c r="D61" s="702" t="s">
        <v>806</v>
      </c>
      <c r="E61" s="702">
        <v>1</v>
      </c>
    </row>
    <row r="62" spans="2:91" x14ac:dyDescent="0.3">
      <c r="C62" s="43"/>
      <c r="D62" s="702" t="s">
        <v>959</v>
      </c>
      <c r="E62" s="43"/>
    </row>
    <row r="63" spans="2:91" x14ac:dyDescent="0.3">
      <c r="C63" s="43" t="s">
        <v>849</v>
      </c>
      <c r="D63" s="702" t="s">
        <v>366</v>
      </c>
      <c r="E63" s="702">
        <v>1</v>
      </c>
    </row>
    <row r="64" spans="2:91" x14ac:dyDescent="0.3">
      <c r="C64" s="43" t="s">
        <v>850</v>
      </c>
      <c r="D64" s="702" t="s">
        <v>425</v>
      </c>
      <c r="E64" s="43">
        <v>1</v>
      </c>
    </row>
    <row r="65" spans="3:5" x14ac:dyDescent="0.3">
      <c r="C65" s="43" t="s">
        <v>851</v>
      </c>
      <c r="D65" s="783" t="s">
        <v>802</v>
      </c>
      <c r="E65" s="43">
        <v>1</v>
      </c>
    </row>
    <row r="66" spans="3:5" x14ac:dyDescent="0.3">
      <c r="C66" s="43" t="s">
        <v>1115</v>
      </c>
      <c r="D66" s="43"/>
      <c r="E66" s="43"/>
    </row>
  </sheetData>
  <mergeCells count="24"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topLeftCell="A25" zoomScale="85" zoomScaleNormal="85" workbookViewId="0">
      <selection activeCell="T51" sqref="T51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1201</v>
      </c>
      <c r="Q1" s="59"/>
    </row>
    <row r="2" spans="2:24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16" t="s">
        <v>1124</v>
      </c>
      <c r="O2" s="1653" t="s">
        <v>85</v>
      </c>
      <c r="P2" s="1654"/>
      <c r="Q2" s="1653" t="s">
        <v>1197</v>
      </c>
      <c r="R2" s="1654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83" t="s">
        <v>1283</v>
      </c>
      <c r="J3" s="71"/>
      <c r="K3" s="71" t="s">
        <v>433</v>
      </c>
      <c r="L3" s="1306"/>
      <c r="M3" s="1750"/>
      <c r="O3" s="967" t="s">
        <v>1035</v>
      </c>
      <c r="P3" s="61">
        <v>1390</v>
      </c>
      <c r="Q3" s="967" t="s">
        <v>1035</v>
      </c>
      <c r="R3" s="1314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85" t="s">
        <v>1284</v>
      </c>
      <c r="J4" s="55"/>
      <c r="K4" s="55" t="s">
        <v>783</v>
      </c>
      <c r="L4" s="59"/>
      <c r="M4" s="10"/>
      <c r="O4" s="967" t="s">
        <v>1036</v>
      </c>
      <c r="P4" s="61">
        <v>1140</v>
      </c>
      <c r="Q4" s="967" t="s">
        <v>1036</v>
      </c>
      <c r="R4" s="1314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78" t="s">
        <v>1134</v>
      </c>
      <c r="J5" s="55"/>
      <c r="K5" s="55" t="s">
        <v>1285</v>
      </c>
      <c r="L5" s="55"/>
      <c r="M5" s="10"/>
      <c r="O5" s="968" t="s">
        <v>8</v>
      </c>
      <c r="P5" s="70">
        <v>210</v>
      </c>
      <c r="Q5" s="1753" t="s">
        <v>8</v>
      </c>
      <c r="R5" s="776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86">
        <v>2</v>
      </c>
      <c r="J6" s="20"/>
      <c r="K6" s="20"/>
      <c r="L6" s="20"/>
      <c r="M6" s="40"/>
      <c r="O6" s="965" t="s">
        <v>19</v>
      </c>
      <c r="P6" s="966">
        <f>ROUNDUP((P3*P3-P4*P4)*3.1415296*P5*P8/4000000,0)</f>
        <v>783</v>
      </c>
      <c r="Q6" s="1512" t="s">
        <v>1286</v>
      </c>
      <c r="R6" s="1587"/>
      <c r="S6" s="1513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323" t="s">
        <v>37</v>
      </c>
      <c r="J7" s="59"/>
      <c r="K7" s="59"/>
      <c r="L7" s="55" t="s">
        <v>17</v>
      </c>
      <c r="M7" s="15">
        <f>I8/I9</f>
        <v>0.63710333604556546</v>
      </c>
      <c r="O7" s="485"/>
      <c r="P7" s="964"/>
      <c r="Q7" s="12">
        <v>1800</v>
      </c>
      <c r="R7" s="71">
        <v>1800</v>
      </c>
      <c r="S7" s="13">
        <v>300</v>
      </c>
      <c r="T7" t="s">
        <v>1287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21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70" t="s">
        <v>1037</v>
      </c>
      <c r="P8" s="971">
        <f>VLOOKUP(I7,Данные!A2:I21,9,FALSE)</f>
        <v>7.5</v>
      </c>
      <c r="Q8" s="19"/>
      <c r="R8" s="65"/>
      <c r="S8" s="40">
        <v>300</v>
      </c>
      <c r="T8" t="s">
        <v>991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21">
        <f>P13</f>
        <v>1229</v>
      </c>
      <c r="J9" s="55"/>
      <c r="K9" s="55"/>
      <c r="L9" s="55"/>
      <c r="M9" s="18"/>
      <c r="O9" s="1660" t="s">
        <v>328</v>
      </c>
      <c r="P9" s="1661"/>
    </row>
    <row r="10" spans="2:24" x14ac:dyDescent="0.3">
      <c r="B10" s="4"/>
      <c r="C10" s="59" t="s">
        <v>24</v>
      </c>
      <c r="D10" s="55"/>
      <c r="E10" s="55"/>
      <c r="F10" s="59"/>
      <c r="G10" s="59"/>
      <c r="I10" s="621">
        <f>P16</f>
        <v>366</v>
      </c>
      <c r="J10" s="55"/>
      <c r="K10" s="55"/>
      <c r="L10" s="55"/>
      <c r="M10" s="18"/>
      <c r="O10" s="1313" t="s">
        <v>1035</v>
      </c>
      <c r="P10" s="1314">
        <f>ROUND(R3*0.985,0)</f>
        <v>1429</v>
      </c>
    </row>
    <row r="11" spans="2:24" x14ac:dyDescent="0.3">
      <c r="B11" s="4"/>
      <c r="C11" s="59" t="s">
        <v>342</v>
      </c>
      <c r="D11" s="55"/>
      <c r="E11" s="55"/>
      <c r="F11" s="59"/>
      <c r="G11" s="59"/>
      <c r="I11" s="621">
        <f>P19</f>
        <v>115</v>
      </c>
      <c r="J11" s="55"/>
      <c r="K11" s="55"/>
      <c r="L11" s="55"/>
      <c r="M11" s="18"/>
      <c r="O11" s="967" t="s">
        <v>1036</v>
      </c>
      <c r="P11" s="61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26">
        <f>SUM(I9:I11)</f>
        <v>1710</v>
      </c>
      <c r="J12" s="55"/>
      <c r="K12" s="55"/>
      <c r="L12" s="55"/>
      <c r="M12" s="18"/>
      <c r="O12" s="968" t="s">
        <v>8</v>
      </c>
      <c r="P12" s="70">
        <f>ROUNDUP(R5*0.985,0)</f>
        <v>250</v>
      </c>
      <c r="W12" s="1749"/>
      <c r="X12" s="1749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27">
        <f>ROUNDUP(I12*1.04,0)</f>
        <v>1779</v>
      </c>
      <c r="J13" s="20"/>
      <c r="K13" s="20"/>
      <c r="L13" s="20"/>
      <c r="M13" s="1301"/>
      <c r="O13" s="1307" t="s">
        <v>256</v>
      </c>
      <c r="P13" s="40">
        <f>ROUNDUP(((P10+K14)*(P10+K14)-(P11-K14)*(P11-K14))*P12*3.1415926*P8/4000000,0)</f>
        <v>1229</v>
      </c>
      <c r="Q13" s="4"/>
      <c r="W13" s="1749"/>
      <c r="X13" s="1749"/>
    </row>
    <row r="14" spans="2:24" ht="15" thickBot="1" x14ac:dyDescent="0.35">
      <c r="B14" s="12"/>
      <c r="C14" s="1318" t="s">
        <v>221</v>
      </c>
      <c r="D14" s="164"/>
      <c r="E14" s="45"/>
      <c r="F14" s="165"/>
      <c r="G14" s="165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34" t="str">
        <f>" мм."</f>
        <v xml:space="preserve"> мм.</v>
      </c>
      <c r="M14" s="167"/>
      <c r="O14" s="1662" t="s">
        <v>818</v>
      </c>
      <c r="P14" s="1663"/>
      <c r="W14" s="1749"/>
      <c r="X14" s="1749"/>
    </row>
    <row r="15" spans="2:24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15" t="s">
        <v>8</v>
      </c>
      <c r="P15">
        <f>P12</f>
        <v>250</v>
      </c>
    </row>
    <row r="16" spans="2:24" x14ac:dyDescent="0.3">
      <c r="B16" s="4"/>
      <c r="C16" s="126"/>
      <c r="D16" s="1337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315" t="s">
        <v>1281</v>
      </c>
      <c r="P16">
        <f>ROUNDUP(P13/4*1.19,0)</f>
        <v>366</v>
      </c>
    </row>
    <row r="17" spans="2:17" x14ac:dyDescent="0.3">
      <c r="B17" s="4"/>
      <c r="C17" s="1319" t="s">
        <v>434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4"/>
      <c r="O18" s="1748" t="s">
        <v>1282</v>
      </c>
      <c r="P18" s="1748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4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3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55">
        <f>ROUND(P4/1.94/10,0)*10</f>
        <v>590</v>
      </c>
      <c r="K21" s="1655"/>
      <c r="L21" s="1655"/>
      <c r="M21" s="441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41"/>
      <c r="K22" s="1341"/>
      <c r="L22" s="1341"/>
      <c r="M22" s="441"/>
    </row>
    <row r="23" spans="2:17" x14ac:dyDescent="0.3">
      <c r="B23" s="4"/>
      <c r="C23" s="1320">
        <v>4.8611111111111112E-2</v>
      </c>
      <c r="D23" s="59"/>
      <c r="E23" s="55"/>
      <c r="F23" s="55"/>
      <c r="G23" s="55"/>
      <c r="H23" s="55"/>
      <c r="I23" s="55"/>
      <c r="J23" s="161"/>
      <c r="K23" s="161"/>
      <c r="L23" s="29"/>
      <c r="M23" s="163"/>
    </row>
    <row r="24" spans="2:17" x14ac:dyDescent="0.3">
      <c r="B24" s="4"/>
      <c r="C24" s="59"/>
      <c r="D24" s="1317">
        <v>20</v>
      </c>
      <c r="E24" s="1657">
        <f>P11</f>
        <v>1106</v>
      </c>
      <c r="F24" s="1656" t="str">
        <f>"( "&amp;P4&amp;" )"</f>
        <v>( 1140 )</v>
      </c>
      <c r="G24" s="1658">
        <f>P10</f>
        <v>1429</v>
      </c>
      <c r="H24" s="1659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657"/>
      <c r="F25" s="1656"/>
      <c r="G25" s="1658"/>
      <c r="H25" s="1659"/>
      <c r="I25" s="1322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57"/>
      <c r="F26" s="1656"/>
      <c r="G26" s="1658"/>
      <c r="H26" s="1659"/>
      <c r="I26" s="1322"/>
      <c r="J26" s="55"/>
      <c r="K26" s="55"/>
      <c r="L26" s="29"/>
      <c r="M26" s="27"/>
    </row>
    <row r="27" spans="2:17" x14ac:dyDescent="0.3">
      <c r="B27" s="4"/>
      <c r="C27" s="59"/>
      <c r="D27" s="33"/>
      <c r="E27" s="1325"/>
      <c r="F27" s="1326"/>
      <c r="G27" s="1658"/>
      <c r="H27" s="1659"/>
      <c r="I27" s="1322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62"/>
      <c r="G28" s="162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69"/>
      <c r="G29" s="969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34"/>
      <c r="F35" s="1324" t="s">
        <v>269</v>
      </c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264</v>
      </c>
      <c r="D36" s="55"/>
      <c r="E36" s="55"/>
      <c r="F36" s="46" t="s">
        <v>54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55</v>
      </c>
      <c r="D37" s="55"/>
      <c r="E37" s="55"/>
      <c r="F37" s="46" t="s">
        <v>56</v>
      </c>
      <c r="K37" s="55"/>
      <c r="L37" s="55"/>
      <c r="M37" s="10"/>
    </row>
    <row r="38" spans="2:25" x14ac:dyDescent="0.3">
      <c r="B38" s="4"/>
      <c r="C38" s="126" t="s">
        <v>63</v>
      </c>
      <c r="D38" s="55"/>
      <c r="E38" s="55"/>
      <c r="F38" s="169" t="s">
        <v>147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942</v>
      </c>
      <c r="D39" s="55"/>
      <c r="E39" s="55"/>
      <c r="F39" s="14" t="s">
        <v>120</v>
      </c>
      <c r="G39" s="169"/>
      <c r="I39" s="1751" t="s">
        <v>1279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50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52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94</v>
      </c>
      <c r="D42" s="55"/>
      <c r="E42" s="17"/>
      <c r="F42" s="17" t="s">
        <v>58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60</v>
      </c>
      <c r="D44" s="55"/>
      <c r="E44" s="55"/>
      <c r="F44" s="1207" t="s">
        <v>91</v>
      </c>
      <c r="G44" s="52"/>
      <c r="H44" t="s">
        <v>1198</v>
      </c>
      <c r="I44" s="55"/>
      <c r="J44" s="43"/>
      <c r="L44" s="55"/>
      <c r="M44" s="10"/>
    </row>
    <row r="45" spans="2:25" ht="15" thickBot="1" x14ac:dyDescent="0.35">
      <c r="B45" s="4"/>
      <c r="C45" s="55" t="s">
        <v>66</v>
      </c>
      <c r="D45" s="55"/>
      <c r="E45" s="17"/>
      <c r="G45" s="17"/>
      <c r="H45" s="17" t="s">
        <v>67</v>
      </c>
      <c r="J45" s="55"/>
      <c r="K45" s="55"/>
      <c r="L45" s="55"/>
      <c r="M45" s="10"/>
    </row>
    <row r="46" spans="2:25" ht="15" thickBot="1" x14ac:dyDescent="0.35">
      <c r="B46" s="1636" t="s">
        <v>68</v>
      </c>
      <c r="C46" s="1638"/>
      <c r="D46" s="1637"/>
      <c r="E46" s="37" t="s">
        <v>69</v>
      </c>
      <c r="F46" s="1636" t="s">
        <v>68</v>
      </c>
      <c r="G46" s="1638"/>
      <c r="H46" s="1637"/>
      <c r="I46" s="1636" t="s">
        <v>70</v>
      </c>
      <c r="J46" s="1637"/>
      <c r="K46" s="1636" t="s">
        <v>1199</v>
      </c>
      <c r="L46" s="1638"/>
      <c r="M46" s="1637"/>
    </row>
    <row r="47" spans="2:25" ht="15" thickBot="1" x14ac:dyDescent="0.35">
      <c r="B47" s="1563">
        <f ca="1">TODAY()</f>
        <v>45420</v>
      </c>
      <c r="C47" s="1587"/>
      <c r="D47" s="1513"/>
      <c r="E47" s="39"/>
      <c r="F47" s="1512"/>
      <c r="G47" s="1587"/>
      <c r="H47" s="1513"/>
      <c r="I47" s="1512"/>
      <c r="J47" s="1513"/>
      <c r="K47" s="1512"/>
      <c r="L47" s="1587"/>
      <c r="M47" s="1513"/>
    </row>
    <row r="48" spans="2:25" ht="15" customHeight="1" thickBot="1" x14ac:dyDescent="0.35">
      <c r="B48" s="1640" t="s">
        <v>71</v>
      </c>
      <c r="C48" s="1641"/>
      <c r="D48" s="1642"/>
      <c r="E48" s="78"/>
      <c r="F48" s="1335"/>
      <c r="G48" s="1336"/>
      <c r="H48" s="3"/>
      <c r="I48" s="1335"/>
      <c r="J48" s="3"/>
      <c r="K48" s="55"/>
      <c r="L48" s="55"/>
      <c r="M48" s="10"/>
    </row>
    <row r="49" spans="1:15" ht="14.4" customHeight="1" thickBot="1" x14ac:dyDescent="0.35">
      <c r="B49" s="1"/>
      <c r="C49" s="1321"/>
      <c r="D49" s="1321"/>
      <c r="E49" s="2"/>
      <c r="F49" s="71"/>
      <c r="G49" s="71"/>
      <c r="H49" s="2"/>
      <c r="I49" s="2"/>
      <c r="J49" s="2"/>
      <c r="K49" s="2"/>
      <c r="L49" s="2"/>
      <c r="M49" s="84"/>
    </row>
    <row r="50" spans="1:15" x14ac:dyDescent="0.3">
      <c r="A50" s="63"/>
      <c r="B50" s="1647" t="s">
        <v>1195</v>
      </c>
      <c r="C50" s="1648"/>
      <c r="D50" s="1649"/>
      <c r="E50" s="1300" t="s">
        <v>297</v>
      </c>
      <c r="F50" s="1643" t="s">
        <v>1196</v>
      </c>
      <c r="G50" s="1644"/>
      <c r="H50" s="1574" t="s">
        <v>298</v>
      </c>
      <c r="I50" s="1575"/>
      <c r="J50" s="111" t="s">
        <v>299</v>
      </c>
      <c r="K50" s="1573" t="s">
        <v>300</v>
      </c>
      <c r="L50" s="1574"/>
      <c r="M50" s="1575"/>
    </row>
    <row r="51" spans="1:15" ht="15" thickBot="1" x14ac:dyDescent="0.35">
      <c r="B51" s="1650"/>
      <c r="C51" s="1651"/>
      <c r="D51" s="1652"/>
      <c r="E51" s="1299" t="s">
        <v>302</v>
      </c>
      <c r="F51" s="1645"/>
      <c r="G51" s="1646"/>
      <c r="H51" s="1576" t="s">
        <v>304</v>
      </c>
      <c r="I51" s="1553"/>
      <c r="J51" s="115"/>
      <c r="K51" s="1552" t="s">
        <v>305</v>
      </c>
      <c r="L51" s="1576"/>
      <c r="M51" s="1553"/>
    </row>
    <row r="52" spans="1:15" ht="15" thickBot="1" x14ac:dyDescent="0.35">
      <c r="B52" s="1534" t="s">
        <v>405</v>
      </c>
      <c r="C52" s="1572"/>
      <c r="D52" s="1535"/>
      <c r="E52" s="200">
        <v>40</v>
      </c>
      <c r="F52" s="1534">
        <v>1</v>
      </c>
      <c r="G52" s="1535"/>
      <c r="H52" s="1534">
        <v>20</v>
      </c>
      <c r="I52" s="1535"/>
      <c r="J52" s="200">
        <v>3</v>
      </c>
      <c r="K52" s="1534">
        <f>ROUND(Q7*R7*(S7+S8)/1000000*2.045*2.3/1000,3)</f>
        <v>9.1440000000000001</v>
      </c>
      <c r="L52" s="1572"/>
      <c r="M52" s="1535"/>
    </row>
    <row r="54" spans="1:15" x14ac:dyDescent="0.3">
      <c r="O54" s="43"/>
    </row>
  </sheetData>
  <mergeCells count="33">
    <mergeCell ref="W12:X12"/>
    <mergeCell ref="W13:X13"/>
    <mergeCell ref="W14:X14"/>
    <mergeCell ref="Q6:S6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  <mergeCell ref="O18:P18"/>
    <mergeCell ref="K50:M50"/>
    <mergeCell ref="K51:M51"/>
    <mergeCell ref="K52:M52"/>
    <mergeCell ref="B52:D52"/>
    <mergeCell ref="B50:D51"/>
    <mergeCell ref="B48:D48"/>
    <mergeCell ref="B47:D47"/>
    <mergeCell ref="F47:H47"/>
    <mergeCell ref="F52:G52"/>
    <mergeCell ref="H52:I52"/>
    <mergeCell ref="F50:G51"/>
    <mergeCell ref="H50:I50"/>
    <mergeCell ref="H51:I51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8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1204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1124</v>
      </c>
      <c r="K2" s="55"/>
      <c r="L2" s="1653" t="s">
        <v>85</v>
      </c>
      <c r="M2" s="1654"/>
      <c r="O2">
        <v>1529.5</v>
      </c>
    </row>
    <row r="3" spans="2:17" x14ac:dyDescent="0.3">
      <c r="B3" s="12" t="s">
        <v>2</v>
      </c>
      <c r="C3" s="71"/>
      <c r="D3" s="5"/>
      <c r="E3" s="5"/>
      <c r="F3" s="622" t="s">
        <v>1207</v>
      </c>
      <c r="G3" s="5"/>
      <c r="H3" s="71" t="s">
        <v>272</v>
      </c>
      <c r="I3" s="1306" t="s">
        <v>870</v>
      </c>
      <c r="J3" s="135"/>
      <c r="K3" s="1302"/>
      <c r="L3" s="967" t="s">
        <v>1035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2" t="s">
        <v>870</v>
      </c>
      <c r="G4" s="55"/>
      <c r="H4" s="55"/>
      <c r="I4" s="59"/>
      <c r="J4" s="10"/>
      <c r="K4" s="59"/>
      <c r="L4" s="967" t="s">
        <v>1036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3" t="s">
        <v>360</v>
      </c>
      <c r="G5" s="55"/>
      <c r="H5" s="55"/>
      <c r="I5" s="55"/>
      <c r="J5" s="10"/>
      <c r="K5" s="59"/>
      <c r="L5" s="968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4">
        <v>1</v>
      </c>
      <c r="G6" s="20"/>
      <c r="H6" s="20"/>
      <c r="I6" s="20"/>
      <c r="J6" s="40"/>
      <c r="K6" s="59"/>
      <c r="L6" s="965" t="s">
        <v>19</v>
      </c>
      <c r="M6" s="966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5" t="s">
        <v>9</v>
      </c>
      <c r="G7" s="55"/>
      <c r="H7" s="59"/>
      <c r="I7" s="55" t="s">
        <v>17</v>
      </c>
      <c r="J7" s="15">
        <f>F8/F9</f>
        <v>0.46575342465753422</v>
      </c>
      <c r="K7" s="183"/>
      <c r="L7" s="485"/>
      <c r="M7" s="964"/>
    </row>
    <row r="8" spans="2:17" ht="15" thickBot="1" x14ac:dyDescent="0.35">
      <c r="B8" s="4" t="s">
        <v>19</v>
      </c>
      <c r="C8" s="55"/>
      <c r="D8" s="55"/>
      <c r="E8" s="55"/>
      <c r="F8" s="62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3"/>
      <c r="L8" s="970" t="s">
        <v>1037</v>
      </c>
      <c r="M8" s="971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21">
        <f>VLOOKUP(I3,B58:I73,6,FALSE)</f>
        <v>730</v>
      </c>
      <c r="G9" s="9"/>
      <c r="H9" s="55"/>
      <c r="I9" s="55"/>
      <c r="J9" s="18"/>
      <c r="K9" s="524"/>
      <c r="L9" s="1307" t="s">
        <v>256</v>
      </c>
      <c r="M9" s="40">
        <f>ROUNDUP(((E24+I13)*(E24+I13)-(E21-I13)*(E21-I13))*J18*3.1415926*M8/4000000,0)</f>
        <v>725</v>
      </c>
    </row>
    <row r="10" spans="2:17" x14ac:dyDescent="0.3">
      <c r="B10" s="4" t="s">
        <v>342</v>
      </c>
      <c r="C10" s="55"/>
      <c r="D10" s="55"/>
      <c r="E10" s="55"/>
      <c r="F10" s="621">
        <f>F11-F9</f>
        <v>315.5</v>
      </c>
      <c r="G10" s="55"/>
      <c r="H10" s="55"/>
      <c r="I10" s="55"/>
      <c r="J10" s="18"/>
      <c r="K10" s="524"/>
    </row>
    <row r="11" spans="2:17" x14ac:dyDescent="0.3">
      <c r="B11" s="4" t="s">
        <v>27</v>
      </c>
      <c r="C11" s="55"/>
      <c r="D11" s="55"/>
      <c r="E11" s="55"/>
      <c r="F11" s="626">
        <f>VLOOKUP(I3,B58:I73,7,FALSE)</f>
        <v>1045.5</v>
      </c>
      <c r="G11" s="55"/>
      <c r="H11" s="55"/>
      <c r="I11" s="55"/>
      <c r="J11" s="18"/>
      <c r="K11" s="524"/>
    </row>
    <row r="12" spans="2:17" ht="15" thickBot="1" x14ac:dyDescent="0.35">
      <c r="B12" s="19" t="s">
        <v>32</v>
      </c>
      <c r="C12" s="20"/>
      <c r="D12" s="20"/>
      <c r="E12" s="20"/>
      <c r="F12" s="627">
        <f>ROUNDUP(F11*1.04,1)</f>
        <v>1087.3999999999999</v>
      </c>
      <c r="G12" s="20"/>
      <c r="H12" s="20"/>
      <c r="I12" s="20"/>
      <c r="J12" s="22"/>
      <c r="K12" s="524"/>
    </row>
    <row r="13" spans="2:17" x14ac:dyDescent="0.3">
      <c r="B13" s="12"/>
      <c r="C13" s="1318" t="s">
        <v>221</v>
      </c>
      <c r="D13" s="164"/>
      <c r="E13" s="45"/>
      <c r="F13" s="165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43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7"/>
      <c r="O16" s="59"/>
      <c r="P16" s="61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3"/>
      <c r="K17" s="1303"/>
      <c r="O17" s="59"/>
      <c r="P17" s="61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1">
        <f>ROUNDUP(VLOOKUP(I3,B58:E64,4,FALSE)*0.985,0)</f>
        <v>104</v>
      </c>
      <c r="K18" s="1304"/>
      <c r="M18" s="620"/>
      <c r="N18" s="978"/>
      <c r="O18" s="59"/>
      <c r="P18" s="61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1" t="str">
        <f>"( "&amp;M5&amp;" )"</f>
        <v>( 60 )</v>
      </c>
      <c r="K19" s="1304"/>
      <c r="M19" s="620"/>
      <c r="N19" s="978"/>
      <c r="O19" s="978"/>
      <c r="P19" s="618"/>
      <c r="Q19" s="59"/>
    </row>
    <row r="20" spans="2:20" ht="15.6" customHeight="1" x14ac:dyDescent="0.3">
      <c r="B20" s="4"/>
      <c r="C20" s="160"/>
      <c r="D20" s="55"/>
      <c r="E20" s="55"/>
      <c r="F20" s="55"/>
      <c r="G20" s="55"/>
      <c r="H20" s="161"/>
      <c r="I20" s="29"/>
      <c r="J20" s="163"/>
      <c r="K20" s="1303"/>
      <c r="M20" s="620"/>
      <c r="N20" s="978"/>
      <c r="O20" s="978"/>
      <c r="P20" s="618"/>
      <c r="Q20" s="59"/>
    </row>
    <row r="21" spans="2:20" x14ac:dyDescent="0.3">
      <c r="B21" s="4"/>
      <c r="C21" s="55"/>
      <c r="D21" s="31"/>
      <c r="E21" s="162">
        <f>ROUNDDOWN(VLOOKUP(I3,B58:E64,3,FALSE)*0.994,0)</f>
        <v>1172</v>
      </c>
      <c r="F21" s="55"/>
      <c r="G21" s="55"/>
      <c r="H21" s="55"/>
      <c r="I21" s="29"/>
      <c r="J21" s="27"/>
      <c r="K21" s="187"/>
    </row>
    <row r="22" spans="2:20" x14ac:dyDescent="0.3">
      <c r="B22" s="4"/>
      <c r="C22" s="55"/>
      <c r="D22" s="59"/>
      <c r="E22" s="969" t="str">
        <f>"( "&amp;M4&amp;" )"</f>
        <v>( 1200 )</v>
      </c>
      <c r="F22" s="55"/>
      <c r="G22" s="55"/>
      <c r="H22" s="55"/>
      <c r="I22" s="29"/>
      <c r="J22" s="27"/>
      <c r="K22" s="187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7"/>
      <c r="T23" s="59"/>
    </row>
    <row r="24" spans="2:20" x14ac:dyDescent="0.3">
      <c r="B24" s="4"/>
      <c r="C24" s="59"/>
      <c r="D24" s="55"/>
      <c r="E24" s="162">
        <f>ROUNDUP(VLOOKUP(I3,B58:E64,2,FALSE)*0.985,0)</f>
        <v>1527</v>
      </c>
      <c r="F24" s="31"/>
      <c r="G24" s="55"/>
      <c r="H24" s="55"/>
      <c r="I24" s="29"/>
      <c r="J24" s="27"/>
      <c r="K24" s="187"/>
    </row>
    <row r="25" spans="2:20" x14ac:dyDescent="0.3">
      <c r="B25" s="4"/>
      <c r="C25" s="59"/>
      <c r="D25" s="55"/>
      <c r="E25" s="969" t="str">
        <f>"( "&amp;M3&amp;" )"</f>
        <v>( 1500 )</v>
      </c>
      <c r="F25" s="31"/>
      <c r="G25" s="55"/>
      <c r="H25" s="55"/>
      <c r="I25" s="29"/>
      <c r="J25" s="27"/>
      <c r="K25" s="187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7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7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361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>Использовать холодильники</v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264</v>
      </c>
      <c r="D33" s="55"/>
      <c r="E33" s="55"/>
      <c r="F33" s="53" t="s">
        <v>54</v>
      </c>
      <c r="G33" s="55"/>
      <c r="H33" s="55"/>
      <c r="I33" s="55"/>
      <c r="J33" s="10"/>
      <c r="K33" s="23"/>
    </row>
    <row r="34" spans="2:12" x14ac:dyDescent="0.3">
      <c r="B34" s="4"/>
      <c r="C34" s="55" t="s">
        <v>60</v>
      </c>
      <c r="D34" s="55"/>
      <c r="E34" s="55"/>
      <c r="F34" s="52" t="s">
        <v>91</v>
      </c>
      <c r="G34" s="55"/>
      <c r="H34" s="55"/>
      <c r="I34" s="55"/>
      <c r="J34" s="10"/>
      <c r="K34" s="59"/>
    </row>
    <row r="35" spans="2:12" x14ac:dyDescent="0.3">
      <c r="B35" s="4"/>
      <c r="C35" s="55" t="s">
        <v>55</v>
      </c>
      <c r="D35" s="55"/>
      <c r="E35" s="55"/>
      <c r="F35" s="53" t="s">
        <v>56</v>
      </c>
      <c r="G35" s="55"/>
      <c r="H35" s="55"/>
      <c r="I35" s="55"/>
      <c r="J35" s="10"/>
      <c r="K35" s="59"/>
    </row>
    <row r="36" spans="2:12" x14ac:dyDescent="0.3">
      <c r="B36" s="4"/>
      <c r="C36" s="126" t="s">
        <v>63</v>
      </c>
      <c r="D36" s="55"/>
      <c r="E36" s="55"/>
      <c r="F36" s="169" t="s">
        <v>362</v>
      </c>
      <c r="G36" s="168"/>
      <c r="H36" s="55"/>
      <c r="I36" s="55" t="s">
        <v>1208</v>
      </c>
      <c r="J36" s="10"/>
      <c r="K36" s="59"/>
    </row>
    <row r="37" spans="2:12" x14ac:dyDescent="0.3">
      <c r="B37" s="4"/>
      <c r="C37" s="55" t="s">
        <v>942</v>
      </c>
      <c r="D37" s="55"/>
      <c r="E37" s="55"/>
      <c r="F37" s="54" t="s">
        <v>117</v>
      </c>
      <c r="G37" s="17" t="s">
        <v>92</v>
      </c>
      <c r="H37" s="55"/>
      <c r="I37" s="55"/>
      <c r="J37" s="10"/>
      <c r="K37" s="59"/>
    </row>
    <row r="38" spans="2:12" x14ac:dyDescent="0.3">
      <c r="B38" s="4"/>
      <c r="C38" s="55" t="s">
        <v>50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52</v>
      </c>
      <c r="D39" s="55"/>
      <c r="E39" s="55"/>
      <c r="F39" s="53" t="s">
        <v>93</v>
      </c>
      <c r="G39" s="55"/>
      <c r="H39" s="55"/>
      <c r="I39" s="55"/>
      <c r="J39" s="10"/>
      <c r="K39" s="59"/>
    </row>
    <row r="40" spans="2:12" x14ac:dyDescent="0.3">
      <c r="B40" s="4"/>
      <c r="C40" s="55" t="s">
        <v>66</v>
      </c>
      <c r="D40" s="55"/>
      <c r="E40" s="17"/>
      <c r="F40" s="17" t="s">
        <v>67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94</v>
      </c>
      <c r="D41" s="55"/>
      <c r="E41" s="17"/>
      <c r="F41" s="17" t="s">
        <v>58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68</v>
      </c>
      <c r="D42" s="13"/>
      <c r="E42" s="37" t="s">
        <v>69</v>
      </c>
      <c r="F42" s="38" t="s">
        <v>68</v>
      </c>
      <c r="G42" s="13"/>
      <c r="H42" s="5" t="s">
        <v>70</v>
      </c>
      <c r="I42" s="5"/>
      <c r="J42" s="13"/>
      <c r="K42" s="59"/>
    </row>
    <row r="43" spans="2:12" ht="15" thickBot="1" x14ac:dyDescent="0.35">
      <c r="B43" s="1571">
        <f ca="1">TODAY()</f>
        <v>45420</v>
      </c>
      <c r="C43" s="1571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71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573" t="s">
        <v>6</v>
      </c>
      <c r="C46" s="1574"/>
      <c r="D46" s="1575"/>
      <c r="E46" s="111" t="s">
        <v>297</v>
      </c>
      <c r="F46" s="112" t="s">
        <v>298</v>
      </c>
      <c r="G46" s="111" t="s">
        <v>298</v>
      </c>
      <c r="H46" s="111" t="s">
        <v>299</v>
      </c>
      <c r="I46" s="108" t="s">
        <v>300</v>
      </c>
      <c r="J46" s="110"/>
      <c r="K46" s="59"/>
    </row>
    <row r="47" spans="2:12" ht="15" thickBot="1" x14ac:dyDescent="0.35">
      <c r="B47" s="1552" t="s">
        <v>301</v>
      </c>
      <c r="C47" s="1576"/>
      <c r="D47" s="1553"/>
      <c r="E47" s="115" t="s">
        <v>302</v>
      </c>
      <c r="F47" s="115" t="s">
        <v>303</v>
      </c>
      <c r="G47" s="115" t="s">
        <v>304</v>
      </c>
      <c r="H47" s="115"/>
      <c r="I47" s="116" t="s">
        <v>305</v>
      </c>
      <c r="J47" s="199"/>
      <c r="K47" s="1305"/>
    </row>
    <row r="48" spans="2:12" ht="15" thickBot="1" x14ac:dyDescent="0.35">
      <c r="B48" s="1534" t="s">
        <v>405</v>
      </c>
      <c r="C48" s="1572"/>
      <c r="D48" s="1535"/>
      <c r="E48" s="200">
        <v>40</v>
      </c>
      <c r="F48" s="201">
        <v>1</v>
      </c>
      <c r="G48" s="200">
        <v>20</v>
      </c>
      <c r="H48" s="200">
        <v>3</v>
      </c>
      <c r="I48" s="1534">
        <f>ROUND($F$11/L48,3)</f>
        <v>10.590999999999999</v>
      </c>
      <c r="J48" s="1535"/>
      <c r="K48" s="1305"/>
      <c r="L48" s="389">
        <v>98.72</v>
      </c>
    </row>
    <row r="49" spans="2:13" x14ac:dyDescent="0.3">
      <c r="K49" s="1305"/>
      <c r="L49" s="389"/>
      <c r="M49" s="43"/>
    </row>
    <row r="55" spans="2:13" ht="15" thickBot="1" x14ac:dyDescent="0.35">
      <c r="B55" s="188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8"/>
      <c r="F56" s="980" t="s">
        <v>1032</v>
      </c>
      <c r="G56" s="1664" t="s">
        <v>372</v>
      </c>
      <c r="H56" s="1665"/>
      <c r="I56" s="1666"/>
      <c r="J56" s="1001" t="s">
        <v>877</v>
      </c>
    </row>
    <row r="57" spans="2:13" ht="15" thickBot="1" x14ac:dyDescent="0.35">
      <c r="B57" s="975" t="s">
        <v>876</v>
      </c>
      <c r="C57" s="976" t="s">
        <v>866</v>
      </c>
      <c r="D57" s="976" t="s">
        <v>867</v>
      </c>
      <c r="E57" s="2" t="s">
        <v>8</v>
      </c>
      <c r="F57" s="977" t="s">
        <v>873</v>
      </c>
      <c r="G57" s="972" t="s">
        <v>1038</v>
      </c>
      <c r="H57" s="973" t="s">
        <v>1039</v>
      </c>
      <c r="I57" s="1000" t="s">
        <v>1040</v>
      </c>
      <c r="J57" s="1002" t="s">
        <v>1041</v>
      </c>
      <c r="K57" s="188"/>
    </row>
    <row r="58" spans="2:13" x14ac:dyDescent="0.3">
      <c r="B58" s="140" t="s">
        <v>363</v>
      </c>
      <c r="C58" s="44">
        <v>1240</v>
      </c>
      <c r="D58" s="44">
        <v>890</v>
      </c>
      <c r="E58" s="44">
        <v>105</v>
      </c>
      <c r="F58" s="974">
        <v>224</v>
      </c>
      <c r="G58" s="974">
        <v>530</v>
      </c>
      <c r="H58" s="974">
        <v>782</v>
      </c>
      <c r="I58" s="974">
        <v>813.3</v>
      </c>
      <c r="J58" s="702">
        <v>1</v>
      </c>
      <c r="K58" s="188"/>
    </row>
    <row r="59" spans="2:13" x14ac:dyDescent="0.3">
      <c r="B59" s="188" t="s">
        <v>868</v>
      </c>
      <c r="C59" s="44">
        <v>1660</v>
      </c>
      <c r="D59" s="44">
        <v>1230</v>
      </c>
      <c r="E59" s="44">
        <v>105</v>
      </c>
      <c r="F59" s="974">
        <v>340</v>
      </c>
      <c r="G59" s="981">
        <v>740</v>
      </c>
      <c r="H59" s="974">
        <v>1076</v>
      </c>
      <c r="I59" s="974">
        <v>1120</v>
      </c>
      <c r="J59">
        <v>1</v>
      </c>
      <c r="K59" s="702"/>
    </row>
    <row r="60" spans="2:13" x14ac:dyDescent="0.3">
      <c r="B60" s="188" t="s">
        <v>869</v>
      </c>
      <c r="C60" s="44">
        <v>1365</v>
      </c>
      <c r="D60" s="44">
        <v>1040</v>
      </c>
      <c r="E60" s="44">
        <v>105</v>
      </c>
      <c r="F60" s="974">
        <v>260</v>
      </c>
      <c r="G60" s="974">
        <v>550</v>
      </c>
      <c r="H60" s="974">
        <v>802</v>
      </c>
      <c r="I60" s="974">
        <v>834</v>
      </c>
      <c r="J60">
        <v>1</v>
      </c>
    </row>
    <row r="61" spans="2:13" x14ac:dyDescent="0.3">
      <c r="B61" s="188" t="s">
        <v>870</v>
      </c>
      <c r="C61" s="173">
        <v>1550</v>
      </c>
      <c r="D61" s="44">
        <v>1180</v>
      </c>
      <c r="E61" s="44">
        <v>105</v>
      </c>
      <c r="F61" s="44">
        <v>340</v>
      </c>
      <c r="G61" s="974">
        <v>730</v>
      </c>
      <c r="H61" s="974">
        <v>1045.5</v>
      </c>
      <c r="I61" s="974">
        <v>1087.4000000000001</v>
      </c>
      <c r="J61">
        <v>1</v>
      </c>
    </row>
    <row r="62" spans="2:13" x14ac:dyDescent="0.3">
      <c r="B62" s="188" t="s">
        <v>872</v>
      </c>
      <c r="C62" s="173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8" t="s">
        <v>1033</v>
      </c>
      <c r="C63" s="979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8" t="s">
        <v>1034</v>
      </c>
      <c r="C64" s="979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8"/>
    </row>
    <row r="66" spans="2:3" x14ac:dyDescent="0.3">
      <c r="B66" s="619"/>
    </row>
    <row r="67" spans="2:3" x14ac:dyDescent="0.3">
      <c r="B67" s="188" t="s">
        <v>871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1206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1124</v>
      </c>
      <c r="K2" s="43"/>
      <c r="L2" s="179" t="s">
        <v>767</v>
      </c>
      <c r="M2" s="412"/>
      <c r="N2" s="415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52" t="s">
        <v>1188</v>
      </c>
      <c r="G3" s="1153"/>
      <c r="H3" s="1154"/>
      <c r="I3" s="1155" t="s">
        <v>765</v>
      </c>
      <c r="J3" s="1156">
        <v>134</v>
      </c>
      <c r="K3" s="43"/>
      <c r="L3" s="42" t="s">
        <v>77</v>
      </c>
      <c r="M3" s="413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57" t="s">
        <v>1189</v>
      </c>
      <c r="G4" s="1154"/>
      <c r="H4" s="1154"/>
      <c r="I4" s="1154"/>
      <c r="J4" s="1158"/>
      <c r="K4" s="43"/>
      <c r="L4" s="47" t="s">
        <v>78</v>
      </c>
      <c r="M4" s="413">
        <f>VLOOKUP(J3,B62:W74,6)</f>
        <v>380</v>
      </c>
      <c r="N4" s="60"/>
      <c r="O4" s="43"/>
      <c r="R4" s="60"/>
      <c r="S4" s="416"/>
      <c r="T4" s="60"/>
      <c r="U4" s="60"/>
    </row>
    <row r="5" spans="2:21" ht="15.6" x14ac:dyDescent="0.3">
      <c r="B5" s="4" t="s">
        <v>6</v>
      </c>
      <c r="C5" s="59"/>
      <c r="D5" s="55"/>
      <c r="E5" s="55"/>
      <c r="F5" s="1159" t="s">
        <v>1172</v>
      </c>
      <c r="G5" s="1154"/>
      <c r="H5" s="1154"/>
      <c r="I5" s="1154"/>
      <c r="J5" s="1158"/>
      <c r="K5" s="43"/>
      <c r="L5" s="42" t="s">
        <v>75</v>
      </c>
      <c r="M5" s="413">
        <f>VLOOKUP(J3,B62:W74,8)</f>
        <v>83</v>
      </c>
      <c r="N5" s="60"/>
      <c r="O5" s="43"/>
      <c r="R5" s="60"/>
      <c r="S5" s="423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60">
        <v>4</v>
      </c>
      <c r="G6" s="358"/>
      <c r="H6" s="358"/>
      <c r="I6" s="358"/>
      <c r="J6" s="1161"/>
      <c r="K6" s="43"/>
      <c r="L6" s="47" t="s">
        <v>76</v>
      </c>
      <c r="M6" s="413">
        <f>VLOOKUP(J3,B62:W74,9)</f>
        <v>170</v>
      </c>
      <c r="N6" s="60"/>
      <c r="O6" s="43"/>
      <c r="R6" s="60"/>
      <c r="S6" s="416"/>
      <c r="T6" s="60"/>
      <c r="U6" s="60"/>
    </row>
    <row r="7" spans="2:21" ht="15.6" x14ac:dyDescent="0.3">
      <c r="B7" s="12" t="s">
        <v>16</v>
      </c>
      <c r="C7" s="5"/>
      <c r="D7" s="5"/>
      <c r="E7" s="5"/>
      <c r="F7" s="418" t="s">
        <v>28</v>
      </c>
      <c r="G7" s="5"/>
      <c r="H7" s="71"/>
      <c r="I7" s="5" t="s">
        <v>17</v>
      </c>
      <c r="J7" s="190">
        <f ca="1">F8/F9</f>
        <v>0.35763097949886102</v>
      </c>
      <c r="K7" s="43"/>
      <c r="L7" s="42" t="s">
        <v>82</v>
      </c>
      <c r="M7" s="413">
        <f>VLOOKUP(J3,B62:W74,10)</f>
        <v>190</v>
      </c>
      <c r="N7" s="60"/>
      <c r="O7" s="43"/>
      <c r="R7" s="60"/>
      <c r="S7" s="423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1107</v>
      </c>
      <c r="M8" s="1165">
        <f>VLOOKUP(J3,B62:W74,16)</f>
        <v>202.5</v>
      </c>
      <c r="N8" s="60"/>
      <c r="O8" s="43"/>
      <c r="R8" s="60"/>
      <c r="S8" s="416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780</v>
      </c>
      <c r="M9" s="413">
        <f>VLOOKUP(J3,B62:W74,4)</f>
        <v>1060</v>
      </c>
      <c r="N9" s="60"/>
      <c r="O9" s="43"/>
      <c r="P9" s="43"/>
      <c r="R9" s="60"/>
      <c r="S9" s="416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9" t="s">
        <v>80</v>
      </c>
      <c r="M10" s="413"/>
      <c r="N10" s="60"/>
      <c r="O10" s="43"/>
      <c r="P10" s="43"/>
      <c r="R10" s="60"/>
      <c r="S10" s="424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781</v>
      </c>
      <c r="M11" s="413">
        <f>VLOOKUP(J3,B62:W74,11)</f>
        <v>180</v>
      </c>
      <c r="N11" s="60"/>
      <c r="O11" s="43"/>
      <c r="P11" s="43"/>
      <c r="R11" s="60"/>
      <c r="S11" s="416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782</v>
      </c>
      <c r="M12" s="413">
        <f>VLOOKUP(J3,B62:W74,12)</f>
        <v>260</v>
      </c>
      <c r="N12" s="60"/>
      <c r="O12" s="43"/>
      <c r="P12" s="43"/>
      <c r="R12" s="60"/>
      <c r="S12" s="416"/>
      <c r="T12" s="60"/>
      <c r="U12" s="60"/>
    </row>
    <row r="13" spans="2:21" ht="16.2" thickBot="1" x14ac:dyDescent="0.35">
      <c r="B13" s="19"/>
      <c r="C13" s="20"/>
      <c r="D13" s="419"/>
      <c r="E13" s="420"/>
      <c r="F13" s="421"/>
      <c r="G13" s="20"/>
      <c r="H13" s="20"/>
      <c r="I13" s="172"/>
      <c r="J13" s="76"/>
      <c r="K13" s="43"/>
      <c r="L13" s="42" t="s">
        <v>83</v>
      </c>
      <c r="M13" s="413">
        <f>VLOOKUP(J3,B62:W74,7)</f>
        <v>450</v>
      </c>
      <c r="N13" s="60"/>
      <c r="O13" s="43"/>
      <c r="P13" s="43"/>
      <c r="R13" s="60"/>
      <c r="S13" s="416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84</v>
      </c>
      <c r="M14" s="413">
        <f>VLOOKUP(J3,B62:W74,3)</f>
        <v>390</v>
      </c>
      <c r="N14" s="60"/>
      <c r="O14" s="43"/>
      <c r="P14" s="43"/>
      <c r="R14" s="60"/>
      <c r="S14" s="416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667" t="s">
        <v>783</v>
      </c>
      <c r="I15" s="1667"/>
      <c r="J15" s="1668"/>
      <c r="K15" s="43"/>
      <c r="L15" s="181" t="s">
        <v>12</v>
      </c>
      <c r="M15" s="414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9"/>
      <c r="I16" s="480" t="s">
        <v>784</v>
      </c>
      <c r="J16" s="481" t="s">
        <v>785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467</v>
      </c>
      <c r="I17" s="422">
        <f t="shared" ref="I17" si="0">M3</f>
        <v>355</v>
      </c>
      <c r="J17" s="425">
        <f>ROUND(I17*0.985,0)</f>
        <v>350</v>
      </c>
      <c r="K17" s="43"/>
      <c r="L17" s="137" t="s">
        <v>311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773</v>
      </c>
      <c r="I18" s="422">
        <f>M5</f>
        <v>83</v>
      </c>
      <c r="J18" s="425">
        <f>ROUND(I18*0.985,0)</f>
        <v>82</v>
      </c>
      <c r="K18" s="43"/>
      <c r="L18" s="411"/>
      <c r="M18" s="411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1106</v>
      </c>
      <c r="I19" s="1166">
        <f>M8</f>
        <v>202.5</v>
      </c>
      <c r="J19" s="425">
        <f>ROUND(I19*0.985,0)</f>
        <v>199</v>
      </c>
      <c r="K19" s="43"/>
      <c r="L19" s="82" t="s">
        <v>276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189</v>
      </c>
      <c r="I20" s="422">
        <f>M9</f>
        <v>1060</v>
      </c>
      <c r="J20" s="425">
        <f>ROUND(I20*0.985,0)</f>
        <v>1044</v>
      </c>
      <c r="K20" s="43"/>
      <c r="L20" s="416"/>
      <c r="M20" s="417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80" t="s">
        <v>786</v>
      </c>
      <c r="I21" s="480"/>
      <c r="J21" s="482"/>
      <c r="K21" s="43"/>
      <c r="L21" s="417"/>
      <c r="M21" s="417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776</v>
      </c>
      <c r="I22" s="422">
        <f>M12</f>
        <v>260</v>
      </c>
      <c r="J22" s="425">
        <f>ROUND(I22*0.985,0)</f>
        <v>256</v>
      </c>
      <c r="K22" s="43"/>
      <c r="L22" s="1669" t="s">
        <v>344</v>
      </c>
      <c r="M22" s="1669"/>
      <c r="N22" s="1669"/>
      <c r="O22" s="1669"/>
      <c r="P22" s="1669"/>
      <c r="Q22" s="1162"/>
    </row>
    <row r="23" spans="2:21" ht="15.6" x14ac:dyDescent="0.3">
      <c r="B23" s="4"/>
      <c r="C23" s="33"/>
      <c r="D23" s="59"/>
      <c r="E23" s="34"/>
      <c r="F23" s="55"/>
      <c r="G23" s="55"/>
      <c r="H23" s="58" t="s">
        <v>772</v>
      </c>
      <c r="I23" s="422">
        <f>M13</f>
        <v>450</v>
      </c>
      <c r="J23" s="425">
        <f>ROUND(I23*0.985,0)</f>
        <v>443</v>
      </c>
      <c r="K23" s="43"/>
      <c r="L23" s="1670" t="s">
        <v>351</v>
      </c>
      <c r="M23" s="1670"/>
      <c r="N23" s="1670"/>
      <c r="O23" s="1670"/>
      <c r="P23" s="1670"/>
      <c r="Q23" s="1163"/>
    </row>
    <row r="24" spans="2:21" ht="15.6" x14ac:dyDescent="0.3">
      <c r="B24" s="4"/>
      <c r="C24" s="59"/>
      <c r="D24" s="55"/>
      <c r="E24" s="26"/>
      <c r="F24" s="31"/>
      <c r="G24" s="55"/>
      <c r="H24" s="58" t="s">
        <v>771</v>
      </c>
      <c r="I24" s="422">
        <f>M14</f>
        <v>390</v>
      </c>
      <c r="J24" s="425">
        <f>ROUND(I24*0.985,0)</f>
        <v>384</v>
      </c>
      <c r="K24" s="43"/>
      <c r="L24" s="1671" t="s">
        <v>352</v>
      </c>
      <c r="M24" s="1671"/>
      <c r="N24" s="1671"/>
      <c r="O24" s="1671"/>
      <c r="P24" s="1671"/>
      <c r="Q24" s="1164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7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6"/>
      <c r="M33" s="417"/>
      <c r="N33" s="60"/>
      <c r="O33" s="43"/>
      <c r="P33" s="43"/>
    </row>
    <row r="34" spans="2:16" ht="16.2" thickBot="1" x14ac:dyDescent="0.35">
      <c r="B34" s="19"/>
      <c r="C34" s="65"/>
      <c r="D34" s="20"/>
      <c r="E34" s="358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264</v>
      </c>
      <c r="D35" s="55"/>
      <c r="E35" s="55"/>
      <c r="F35" s="53" t="s">
        <v>54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60</v>
      </c>
      <c r="D36" s="55"/>
      <c r="E36" s="55"/>
      <c r="F36" s="52" t="s">
        <v>91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55</v>
      </c>
      <c r="D37" s="55"/>
      <c r="E37" s="55"/>
      <c r="F37" s="53" t="s">
        <v>56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942</v>
      </c>
      <c r="D38" s="55"/>
      <c r="E38" s="55"/>
      <c r="F38" s="478" t="str">
        <f>C77</f>
        <v>1080-1100</v>
      </c>
      <c r="G38" s="17" t="s">
        <v>92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436</v>
      </c>
      <c r="D39" s="43"/>
      <c r="E39" s="43"/>
      <c r="F39" s="44" t="s">
        <v>437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50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52</v>
      </c>
      <c r="D41" s="55"/>
      <c r="E41" s="55"/>
      <c r="F41" s="53" t="s">
        <v>93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94</v>
      </c>
      <c r="D42" s="55"/>
      <c r="E42" s="17"/>
      <c r="F42" s="44" t="s">
        <v>58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66</v>
      </c>
      <c r="D43" s="55"/>
      <c r="E43" s="17"/>
      <c r="F43" s="17" t="s">
        <v>67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68</v>
      </c>
      <c r="D44" s="13"/>
      <c r="E44" s="37" t="s">
        <v>69</v>
      </c>
      <c r="F44" s="38" t="s">
        <v>68</v>
      </c>
      <c r="G44" s="13"/>
      <c r="H44" s="5" t="s">
        <v>70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571">
        <f ca="1">TODAY()</f>
        <v>45420</v>
      </c>
      <c r="C45" s="1571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71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7"/>
      <c r="D48" s="408"/>
      <c r="E48" s="111" t="s">
        <v>297</v>
      </c>
      <c r="F48" s="112" t="s">
        <v>298</v>
      </c>
      <c r="G48" s="111" t="s">
        <v>298</v>
      </c>
      <c r="H48" s="111" t="s">
        <v>299</v>
      </c>
      <c r="I48" s="108" t="s">
        <v>300</v>
      </c>
      <c r="J48" s="408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9" t="s">
        <v>301</v>
      </c>
      <c r="D49" s="410"/>
      <c r="E49" s="115" t="s">
        <v>302</v>
      </c>
      <c r="F49" s="115" t="s">
        <v>303</v>
      </c>
      <c r="G49" s="115" t="s">
        <v>304</v>
      </c>
      <c r="H49" s="115"/>
      <c r="I49" s="116" t="s">
        <v>305</v>
      </c>
      <c r="J49" s="410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9" t="s">
        <v>405</v>
      </c>
      <c r="D50" s="409"/>
      <c r="E50" s="200">
        <v>40</v>
      </c>
      <c r="F50" s="201">
        <v>1</v>
      </c>
      <c r="G50" s="200">
        <v>20</v>
      </c>
      <c r="H50" s="200">
        <v>3</v>
      </c>
      <c r="I50" s="1534">
        <f ca="1">IF(B77=TRUE,ROUND($F11/K51,3),ROUND($F11/K52,3))</f>
        <v>4.0289999999999999</v>
      </c>
      <c r="J50" s="1535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768</v>
      </c>
      <c r="C58" s="140" t="s">
        <v>770</v>
      </c>
      <c r="D58" s="140" t="s">
        <v>771</v>
      </c>
      <c r="E58" s="140" t="s">
        <v>189</v>
      </c>
      <c r="F58" s="140" t="s">
        <v>467</v>
      </c>
      <c r="G58" s="140" t="s">
        <v>769</v>
      </c>
      <c r="H58" s="140" t="s">
        <v>772</v>
      </c>
      <c r="I58" s="140" t="s">
        <v>773</v>
      </c>
      <c r="J58" s="140" t="s">
        <v>349</v>
      </c>
      <c r="K58" s="140" t="s">
        <v>774</v>
      </c>
      <c r="L58" s="140" t="s">
        <v>775</v>
      </c>
      <c r="M58" s="140" t="s">
        <v>776</v>
      </c>
      <c r="N58" s="140" t="s">
        <v>777</v>
      </c>
      <c r="O58" s="140" t="s">
        <v>778</v>
      </c>
      <c r="P58" s="140" t="s">
        <v>779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46"/>
      <c r="B60" s="1246" t="str">
        <f>[1]Сухари!B2</f>
        <v>Деревянные модели сухарей</v>
      </c>
      <c r="C60" s="1246"/>
      <c r="D60" s="1246"/>
      <c r="E60" s="1246"/>
      <c r="F60" s="1246"/>
      <c r="G60" s="1246"/>
      <c r="H60" s="1246"/>
      <c r="I60" s="1246"/>
      <c r="J60" s="1246"/>
      <c r="K60" s="1246"/>
      <c r="L60" s="1246"/>
      <c r="M60" s="1246"/>
      <c r="N60" s="1246"/>
      <c r="O60" s="1246"/>
      <c r="P60" s="1246"/>
      <c r="Q60" s="1246"/>
      <c r="R60" s="1246"/>
      <c r="S60" s="1246"/>
      <c r="T60" s="1246"/>
      <c r="U60" s="1246"/>
      <c r="V60" s="1246"/>
      <c r="W60" s="140"/>
    </row>
    <row r="61" spans="1:23" x14ac:dyDescent="0.3">
      <c r="A61" s="1246"/>
      <c r="B61" s="1246" t="str">
        <f>[1]Сухари!B3</f>
        <v>Номер модели</v>
      </c>
      <c r="C61" s="1246" t="str">
        <f>[1]Сухари!C3</f>
        <v>Высота, Н</v>
      </c>
      <c r="D61" s="1246" t="str">
        <f>[1]Сухари!D3</f>
        <v>Высота прибыли, h1</v>
      </c>
      <c r="E61" s="1246" t="str">
        <f>[1]Сухари!E3</f>
        <v>Высота модели, h2</v>
      </c>
      <c r="F61" s="1246" t="str">
        <f>[1]Сухари!F3</f>
        <v>Ширина, L1</v>
      </c>
      <c r="G61" s="1246" t="str">
        <f>[1]Сухари!G3</f>
        <v>Ширина, L2</v>
      </c>
      <c r="H61" s="1246" t="str">
        <f>[1]Сухари!H3</f>
        <v>Ширина, L3</v>
      </c>
      <c r="I61" s="1246" t="str">
        <f>[1]Сухари!I3</f>
        <v>Толщина, L4</v>
      </c>
      <c r="J61" s="1246" t="str">
        <f>[1]Сухари!J3</f>
        <v>Толщина, L5</v>
      </c>
      <c r="K61" s="1246" t="str">
        <f>[1]Сухари!K3</f>
        <v>Толщина, L6</v>
      </c>
      <c r="L61" s="1246" t="str">
        <f>[1]Сухари!L3</f>
        <v>Толщина, L7</v>
      </c>
      <c r="M61" s="1246" t="str">
        <f>[1]Сухари!M3</f>
        <v>Толщина, L8</v>
      </c>
      <c r="N61" s="1246" t="str">
        <f>[1]Сухари!N3</f>
        <v>Толщина, L9</v>
      </c>
      <c r="O61" s="1246" t="str">
        <f>[1]Сухари!O3</f>
        <v>Толщина, L10</v>
      </c>
      <c r="P61" s="1246" t="str">
        <f>[1]Сухари!P3</f>
        <v>Толщина, L11</v>
      </c>
      <c r="Q61" s="1246" t="str">
        <f>[1]Сухари!Q3</f>
        <v>Толщина, L12</v>
      </c>
      <c r="R61" s="1246" t="s">
        <v>4</v>
      </c>
      <c r="S61" s="1246"/>
      <c r="T61" s="1246"/>
      <c r="U61" s="1246"/>
      <c r="V61" s="1246"/>
      <c r="W61" s="140"/>
    </row>
    <row r="62" spans="1:23" x14ac:dyDescent="0.3">
      <c r="A62" s="1246"/>
      <c r="B62" s="1246">
        <f>[1]Сухари!B4</f>
        <v>125</v>
      </c>
      <c r="C62" s="1246">
        <f>[1]Сухари!C4</f>
        <v>890</v>
      </c>
      <c r="D62" s="1246">
        <f>[1]Сухари!D4</f>
        <v>255</v>
      </c>
      <c r="E62" s="1246">
        <f>[1]Сухари!E4</f>
        <v>635</v>
      </c>
      <c r="F62" s="1246">
        <f>[1]Сухари!F4</f>
        <v>243</v>
      </c>
      <c r="G62" s="1246">
        <f>[1]Сухари!G4</f>
        <v>260</v>
      </c>
      <c r="H62" s="1246">
        <f>[1]Сухари!H4</f>
        <v>310</v>
      </c>
      <c r="I62" s="1246">
        <f>[1]Сухари!I4</f>
        <v>30</v>
      </c>
      <c r="J62" s="1246">
        <f>[1]Сухари!J4</f>
        <v>55</v>
      </c>
      <c r="K62" s="1246">
        <f>[1]Сухари!K4</f>
        <v>63</v>
      </c>
      <c r="L62" s="1246">
        <f>[1]Сухари!L4</f>
        <v>100</v>
      </c>
      <c r="M62" s="1246">
        <f>[1]Сухари!M4</f>
        <v>160</v>
      </c>
      <c r="N62" s="1246">
        <f>[1]Сухари!N4</f>
        <v>90</v>
      </c>
      <c r="O62" s="1246">
        <f>[1]Сухари!O4</f>
        <v>220</v>
      </c>
      <c r="P62" s="1246">
        <f>[1]Сухари!P4</f>
        <v>180</v>
      </c>
      <c r="Q62" s="1246">
        <f>[1]Сухари!Q4</f>
        <v>106</v>
      </c>
      <c r="R62" s="1246" t="s">
        <v>766</v>
      </c>
      <c r="S62" s="1246">
        <f>[1]Сухари!T4</f>
        <v>110</v>
      </c>
      <c r="T62" s="1246">
        <f>[1]Сухари!U4</f>
        <v>65.650000000000006</v>
      </c>
      <c r="U62" s="1246">
        <f>[1]Сухари!V4</f>
        <v>175.65</v>
      </c>
      <c r="V62" s="1246">
        <f>[1]Сухари!W4</f>
        <v>182.67600000000002</v>
      </c>
      <c r="W62" s="140"/>
    </row>
    <row r="63" spans="1:23" x14ac:dyDescent="0.3">
      <c r="A63" s="1246"/>
      <c r="B63" s="1246">
        <f>[1]Сухари!B5</f>
        <v>126</v>
      </c>
      <c r="C63" s="1246">
        <f>[1]Сухари!C5</f>
        <v>895</v>
      </c>
      <c r="D63" s="1246">
        <f>[1]Сухари!D5</f>
        <v>250</v>
      </c>
      <c r="E63" s="1246">
        <f>[1]Сухари!E5</f>
        <v>645</v>
      </c>
      <c r="F63" s="1246">
        <f>[1]Сухари!F5</f>
        <v>245</v>
      </c>
      <c r="G63" s="1246">
        <f>[1]Сухари!G5</f>
        <v>260</v>
      </c>
      <c r="H63" s="1246">
        <f>[1]Сухари!H5</f>
        <v>310</v>
      </c>
      <c r="I63" s="1246">
        <f>[1]Сухари!I5</f>
        <v>30</v>
      </c>
      <c r="J63" s="1246">
        <f>[1]Сухари!J5</f>
        <v>60</v>
      </c>
      <c r="K63" s="1246">
        <f>[1]Сухари!K5</f>
        <v>65</v>
      </c>
      <c r="L63" s="1246">
        <f>[1]Сухари!L5</f>
        <v>100</v>
      </c>
      <c r="M63" s="1246">
        <f>[1]Сухари!M5</f>
        <v>170</v>
      </c>
      <c r="N63" s="1246">
        <f>[1]Сухари!N5</f>
        <v>90</v>
      </c>
      <c r="O63" s="1246">
        <f>[1]Сухари!O5</f>
        <v>220</v>
      </c>
      <c r="P63" s="1246">
        <f>[1]Сухари!P5</f>
        <v>180</v>
      </c>
      <c r="Q63" s="1246">
        <f>[1]Сухари!Q5</f>
        <v>110</v>
      </c>
      <c r="R63" s="1246"/>
      <c r="S63" s="1246">
        <f>[1]Сухари!T5</f>
        <v>110</v>
      </c>
      <c r="T63" s="1246">
        <f>[1]Сухари!U5</f>
        <v>65.650000000000006</v>
      </c>
      <c r="U63" s="1246">
        <f>[1]Сухари!V5</f>
        <v>175.65</v>
      </c>
      <c r="V63" s="1246">
        <f>[1]Сухари!W5</f>
        <v>182.67600000000002</v>
      </c>
      <c r="W63" s="140"/>
    </row>
    <row r="64" spans="1:23" x14ac:dyDescent="0.3">
      <c r="A64" s="1246"/>
      <c r="B64" s="1246">
        <f>[1]Сухари!B6</f>
        <v>127</v>
      </c>
      <c r="C64" s="1246">
        <f>[1]Сухари!C6</f>
        <v>1840</v>
      </c>
      <c r="D64" s="1246">
        <f>[1]Сухари!D6</f>
        <v>510</v>
      </c>
      <c r="E64" s="1246">
        <f>[1]Сухари!E6</f>
        <v>1330</v>
      </c>
      <c r="F64" s="1246">
        <f>[1]Сухари!F6</f>
        <v>440</v>
      </c>
      <c r="G64" s="1246">
        <f>[1]Сухари!G6</f>
        <v>455</v>
      </c>
      <c r="H64" s="1246">
        <f>[1]Сухари!H6</f>
        <v>555</v>
      </c>
      <c r="I64" s="1246">
        <f>[1]Сухари!I6</f>
        <v>80</v>
      </c>
      <c r="J64" s="1246">
        <f>[1]Сухари!J6</f>
        <v>155</v>
      </c>
      <c r="K64" s="1246">
        <f>[1]Сухари!K6</f>
        <v>165</v>
      </c>
      <c r="L64" s="1246">
        <f>[1]Сухари!L6</f>
        <v>240</v>
      </c>
      <c r="M64" s="1246">
        <f>[1]Сухари!M6</f>
        <v>340</v>
      </c>
      <c r="N64" s="1246">
        <f>[1]Сухари!N6</f>
        <v>170</v>
      </c>
      <c r="O64" s="1246">
        <f>[1]Сухари!O6</f>
        <v>540</v>
      </c>
      <c r="P64" s="1246">
        <f>[1]Сухари!P6</f>
        <v>500</v>
      </c>
      <c r="Q64" s="1246">
        <f>[1]Сухари!Q6</f>
        <v>234</v>
      </c>
      <c r="R64" s="1246"/>
      <c r="S64" s="1246">
        <f>[1]Сухари!T6</f>
        <v>874.6</v>
      </c>
      <c r="T64" s="1246">
        <f>[1]Сухари!U6</f>
        <v>507.1</v>
      </c>
      <c r="U64" s="1246">
        <f>[1]Сухари!V6</f>
        <v>1381.7</v>
      </c>
      <c r="V64" s="1246">
        <f>[1]Сухари!W6</f>
        <v>1436.9680000000001</v>
      </c>
      <c r="W64" s="140"/>
    </row>
    <row r="65" spans="1:23" x14ac:dyDescent="0.3">
      <c r="A65" s="1246"/>
      <c r="B65" s="1246">
        <f>[1]Сухари!B7</f>
        <v>128</v>
      </c>
      <c r="C65" s="1246">
        <f>[1]Сухари!C7</f>
        <v>1670</v>
      </c>
      <c r="D65" s="1246">
        <f>[1]Сухари!D7</f>
        <v>420</v>
      </c>
      <c r="E65" s="1246">
        <f>[1]Сухари!E7</f>
        <v>1250</v>
      </c>
      <c r="F65" s="1246">
        <f>[1]Сухари!F7</f>
        <v>425</v>
      </c>
      <c r="G65" s="1246">
        <f>[1]Сухари!G7</f>
        <v>440</v>
      </c>
      <c r="H65" s="1246">
        <f>[1]Сухари!H7</f>
        <v>520</v>
      </c>
      <c r="I65" s="1246">
        <f>[1]Сухари!I7</f>
        <v>45</v>
      </c>
      <c r="J65" s="1246">
        <f>[1]Сухари!J7</f>
        <v>90</v>
      </c>
      <c r="K65" s="1246">
        <f>[1]Сухари!K7</f>
        <v>95</v>
      </c>
      <c r="L65" s="1246">
        <f>[1]Сухари!L7</f>
        <v>155</v>
      </c>
      <c r="M65" s="1246">
        <f>[1]Сухари!M7</f>
        <v>260</v>
      </c>
      <c r="N65" s="1246">
        <f>[1]Сухари!N7</f>
        <v>145</v>
      </c>
      <c r="O65" s="1246">
        <f>[1]Сухари!O7</f>
        <v>420</v>
      </c>
      <c r="P65" s="1246">
        <f>[1]Сухари!P7</f>
        <v>420</v>
      </c>
      <c r="Q65" s="1246">
        <f>[1]Сухари!Q7</f>
        <v>240</v>
      </c>
      <c r="R65" s="1246"/>
      <c r="S65" s="1246">
        <f>[1]Сухари!T7</f>
        <v>690</v>
      </c>
      <c r="T65" s="1246">
        <f>[1]Сухари!U7</f>
        <v>489</v>
      </c>
      <c r="U65" s="1246">
        <f>[1]Сухари!V7</f>
        <v>1179</v>
      </c>
      <c r="V65" s="1246">
        <f>[1]Сухари!W7</f>
        <v>1226.1600000000001</v>
      </c>
      <c r="W65" s="140"/>
    </row>
    <row r="66" spans="1:23" x14ac:dyDescent="0.3">
      <c r="A66" s="1246"/>
      <c r="B66" s="1246">
        <f>[1]Сухари!B8</f>
        <v>129</v>
      </c>
      <c r="C66" s="1246">
        <f>[1]Сухари!C8</f>
        <v>1170</v>
      </c>
      <c r="D66" s="1246">
        <f>[1]Сухари!D8</f>
        <v>320</v>
      </c>
      <c r="E66" s="1246">
        <f>[1]Сухари!E8</f>
        <v>850</v>
      </c>
      <c r="F66" s="1246">
        <f>[1]Сухари!F8</f>
        <v>315</v>
      </c>
      <c r="G66" s="1246">
        <f>[1]Сухари!G8</f>
        <v>330</v>
      </c>
      <c r="H66" s="1246">
        <f>[1]Сухари!H8</f>
        <v>390</v>
      </c>
      <c r="I66" s="1246">
        <f>[1]Сухари!I8</f>
        <v>60</v>
      </c>
      <c r="J66" s="1246">
        <f>[1]Сухари!J8</f>
        <v>90</v>
      </c>
      <c r="K66" s="1246">
        <f>[1]Сухари!K8</f>
        <v>100</v>
      </c>
      <c r="L66" s="1246">
        <f>[1]Сухари!L8</f>
        <v>140</v>
      </c>
      <c r="M66" s="1246">
        <f>[1]Сухари!M8</f>
        <v>220</v>
      </c>
      <c r="N66" s="1246">
        <f>[1]Сухари!N8</f>
        <v>120</v>
      </c>
      <c r="O66" s="1246">
        <f>[1]Сухари!O8</f>
        <v>290</v>
      </c>
      <c r="P66" s="1246">
        <f>[1]Сухари!P8</f>
        <v>280</v>
      </c>
      <c r="Q66" s="1246">
        <f>[1]Сухари!Q8</f>
        <v>164</v>
      </c>
      <c r="R66" s="1246"/>
      <c r="S66" s="1246">
        <f>[1]Сухари!T8</f>
        <v>1</v>
      </c>
      <c r="T66" s="1246">
        <f>[1]Сухари!U8</f>
        <v>1</v>
      </c>
      <c r="U66" s="1246">
        <f>[1]Сухари!V8</f>
        <v>1</v>
      </c>
      <c r="V66" s="1246">
        <f>[1]Сухари!W8</f>
        <v>1</v>
      </c>
      <c r="W66" s="140"/>
    </row>
    <row r="67" spans="1:23" x14ac:dyDescent="0.3">
      <c r="A67" s="1246"/>
      <c r="B67" s="1246">
        <f>[1]Сухари!B9</f>
        <v>130</v>
      </c>
      <c r="C67" s="1246">
        <f>[1]Сухари!C9</f>
        <v>1150</v>
      </c>
      <c r="D67" s="1246">
        <f>[1]Сухари!D9</f>
        <v>350</v>
      </c>
      <c r="E67" s="1246">
        <f>[1]Сухари!E9</f>
        <v>800</v>
      </c>
      <c r="F67" s="1246">
        <f>[1]Сухари!F9</f>
        <v>300</v>
      </c>
      <c r="G67" s="1246">
        <f>[1]Сухари!G9</f>
        <v>310</v>
      </c>
      <c r="H67" s="1246">
        <f>[1]Сухари!H9</f>
        <v>390</v>
      </c>
      <c r="I67" s="1246">
        <f>[1]Сухари!I9</f>
        <v>15</v>
      </c>
      <c r="J67" s="1246">
        <f>[1]Сухари!J9</f>
        <v>95</v>
      </c>
      <c r="K67" s="1246">
        <f>[1]Сухари!K9</f>
        <v>100</v>
      </c>
      <c r="L67" s="1246">
        <f>[1]Сухари!L9</f>
        <v>115</v>
      </c>
      <c r="M67" s="1246">
        <f>[1]Сухари!M9</f>
        <v>190</v>
      </c>
      <c r="N67" s="1246">
        <f>[1]Сухари!N9</f>
        <v>120</v>
      </c>
      <c r="O67" s="1246">
        <f>[1]Сухари!O9</f>
        <v>260</v>
      </c>
      <c r="P67" s="1246">
        <f>[1]Сухари!P9</f>
        <v>255</v>
      </c>
      <c r="Q67" s="1246">
        <f>[1]Сухари!Q9</f>
        <v>152.5</v>
      </c>
      <c r="R67" s="1246"/>
      <c r="S67" s="1246">
        <f>[1]Сухари!T9</f>
        <v>228</v>
      </c>
      <c r="T67" s="1246">
        <f>[1]Сухари!U9</f>
        <v>160</v>
      </c>
      <c r="U67" s="1246">
        <f>[1]Сухари!V9</f>
        <v>388</v>
      </c>
      <c r="V67" s="1246">
        <f>[1]Сухари!W9</f>
        <v>403.52000000000004</v>
      </c>
      <c r="W67" s="140"/>
    </row>
    <row r="68" spans="1:23" x14ac:dyDescent="0.3">
      <c r="A68" s="1246"/>
      <c r="B68" s="1246">
        <f>[1]Сухари!B10</f>
        <v>131</v>
      </c>
      <c r="C68" s="1246">
        <f>[1]Сухари!C10</f>
        <v>1075</v>
      </c>
      <c r="D68" s="1246">
        <f>[1]Сухари!D10</f>
        <v>330</v>
      </c>
      <c r="E68" s="1246">
        <f>[1]Сухари!E10</f>
        <v>745</v>
      </c>
      <c r="F68" s="1246">
        <f>[1]Сухари!F10</f>
        <v>260</v>
      </c>
      <c r="G68" s="1246">
        <f>[1]Сухари!G10</f>
        <v>270</v>
      </c>
      <c r="H68" s="1246">
        <f>[1]Сухари!H10</f>
        <v>335</v>
      </c>
      <c r="I68" s="1246">
        <f>[1]Сухари!I10</f>
        <v>55</v>
      </c>
      <c r="J68" s="1246">
        <f>[1]Сухари!J10</f>
        <v>75</v>
      </c>
      <c r="K68" s="1246">
        <f>[1]Сухари!K10</f>
        <v>85</v>
      </c>
      <c r="L68" s="1246">
        <f>[1]Сухари!L10</f>
        <v>150</v>
      </c>
      <c r="M68" s="1246">
        <f>[1]Сухари!M10</f>
        <v>220</v>
      </c>
      <c r="N68" s="1246">
        <f>[1]Сухари!N10</f>
        <v>100</v>
      </c>
      <c r="O68" s="1246">
        <f>[1]Сухари!O10</f>
        <v>260</v>
      </c>
      <c r="P68" s="1246">
        <f>[1]Сухари!P10</f>
        <v>230</v>
      </c>
      <c r="Q68" s="1246">
        <f>[1]Сухари!Q10</f>
        <v>129</v>
      </c>
      <c r="R68" s="1246"/>
      <c r="S68" s="1246">
        <f>[1]Сухари!T10</f>
        <v>170</v>
      </c>
      <c r="T68" s="1246">
        <f>[1]Сухари!U10</f>
        <v>121.22</v>
      </c>
      <c r="U68" s="1246">
        <f>[1]Сухари!V10</f>
        <v>291.22000000000003</v>
      </c>
      <c r="V68" s="1246">
        <f>[1]Сухари!W10</f>
        <v>302.86880000000002</v>
      </c>
      <c r="W68" s="140"/>
    </row>
    <row r="69" spans="1:23" x14ac:dyDescent="0.3">
      <c r="A69" s="1246"/>
      <c r="B69" s="1246">
        <f>[1]Сухари!B11</f>
        <v>132</v>
      </c>
      <c r="C69" s="1246">
        <f>[1]Сухари!C11</f>
        <v>1045</v>
      </c>
      <c r="D69" s="1246">
        <f>[1]Сухари!D11</f>
        <v>330</v>
      </c>
      <c r="E69" s="1246">
        <f>[1]Сухари!E11</f>
        <v>715</v>
      </c>
      <c r="F69" s="1246">
        <f>[1]Сухари!F11</f>
        <v>325</v>
      </c>
      <c r="G69" s="1246">
        <f>[1]Сухари!G11</f>
        <v>340</v>
      </c>
      <c r="H69" s="1246">
        <f>[1]Сухари!H11</f>
        <v>410</v>
      </c>
      <c r="I69" s="1246">
        <f>[1]Сухари!I11</f>
        <v>75</v>
      </c>
      <c r="J69" s="1246">
        <f>[1]Сухари!J11</f>
        <v>105</v>
      </c>
      <c r="K69" s="1246">
        <f>[1]Сухари!K11</f>
        <v>105</v>
      </c>
      <c r="L69" s="1246">
        <f>[1]Сухари!L11</f>
        <v>180</v>
      </c>
      <c r="M69" s="1246">
        <f>[1]Сухари!M11</f>
        <v>240</v>
      </c>
      <c r="N69" s="1246">
        <f>[1]Сухари!N11</f>
        <v>125</v>
      </c>
      <c r="O69" s="1246">
        <f>[1]Сухари!O11</f>
        <v>175</v>
      </c>
      <c r="P69" s="1246">
        <f>[1]Сухари!P11</f>
        <v>160</v>
      </c>
      <c r="Q69" s="1246">
        <f>[1]Сухари!Q11</f>
        <v>0</v>
      </c>
      <c r="R69" s="1246"/>
      <c r="S69" s="1246">
        <f>[1]Сухари!T11</f>
        <v>1</v>
      </c>
      <c r="T69" s="1246">
        <f>[1]Сухари!U11</f>
        <v>1</v>
      </c>
      <c r="U69" s="1246">
        <f>[1]Сухари!V11</f>
        <v>1</v>
      </c>
      <c r="V69" s="1246">
        <f>[1]Сухари!W11</f>
        <v>1</v>
      </c>
      <c r="W69" s="140"/>
    </row>
    <row r="70" spans="1:23" x14ac:dyDescent="0.3">
      <c r="A70" s="1246"/>
      <c r="B70" s="1246">
        <f>[1]Сухари!B12</f>
        <v>133</v>
      </c>
      <c r="C70" s="1246">
        <f>[1]Сухари!C12</f>
        <v>1350</v>
      </c>
      <c r="D70" s="1246">
        <f>[1]Сухари!D12</f>
        <v>370</v>
      </c>
      <c r="E70" s="1246">
        <f>[1]Сухари!E12</f>
        <v>980</v>
      </c>
      <c r="F70" s="1246">
        <f>[1]Сухари!F12</f>
        <v>340</v>
      </c>
      <c r="G70" s="1246">
        <f>[1]Сухари!G12</f>
        <v>355</v>
      </c>
      <c r="H70" s="1246">
        <f>[1]Сухари!H12</f>
        <v>420</v>
      </c>
      <c r="I70" s="1246">
        <f>[1]Сухари!I12</f>
        <v>65</v>
      </c>
      <c r="J70" s="1246">
        <f>[1]Сухари!J12</f>
        <v>110</v>
      </c>
      <c r="K70" s="1246">
        <f>[1]Сухари!K12</f>
        <v>115</v>
      </c>
      <c r="L70" s="1246">
        <f>[1]Сухари!L12</f>
        <v>160</v>
      </c>
      <c r="M70" s="1246">
        <f>[1]Сухари!M12</f>
        <v>250</v>
      </c>
      <c r="N70" s="1246">
        <f>[1]Сухари!N12</f>
        <v>140</v>
      </c>
      <c r="O70" s="1246">
        <f>[1]Сухари!O12</f>
        <v>350</v>
      </c>
      <c r="P70" s="1246">
        <f>[1]Сухари!P12</f>
        <v>300</v>
      </c>
      <c r="Q70" s="1246">
        <f>[1]Сухари!Q12</f>
        <v>197.5</v>
      </c>
      <c r="R70" s="1246"/>
      <c r="S70" s="1246">
        <f>[1]Сухари!T12</f>
        <v>385.9</v>
      </c>
      <c r="T70" s="1246">
        <f>[1]Сухари!U12</f>
        <v>214.2</v>
      </c>
      <c r="U70" s="1246">
        <f>[1]Сухари!V12</f>
        <v>600.09999999999991</v>
      </c>
      <c r="V70" s="1246">
        <f>[1]Сухари!W12</f>
        <v>624.10399999999993</v>
      </c>
      <c r="W70" s="140"/>
    </row>
    <row r="71" spans="1:23" x14ac:dyDescent="0.3">
      <c r="A71" s="1246"/>
      <c r="B71" s="1246">
        <f>[1]Сухари!B13</f>
        <v>134</v>
      </c>
      <c r="C71" s="1246">
        <f>[1]Сухари!C13</f>
        <v>1450</v>
      </c>
      <c r="D71" s="1246">
        <f>[1]Сухари!D13</f>
        <v>390</v>
      </c>
      <c r="E71" s="1246">
        <f>[1]Сухари!E13</f>
        <v>1060</v>
      </c>
      <c r="F71" s="1246">
        <f>[1]Сухари!F13</f>
        <v>355</v>
      </c>
      <c r="G71" s="1246">
        <f>[1]Сухари!G13</f>
        <v>380</v>
      </c>
      <c r="H71" s="1246">
        <f>[1]Сухари!H13</f>
        <v>450</v>
      </c>
      <c r="I71" s="1246">
        <f>[1]Сухари!I13</f>
        <v>83</v>
      </c>
      <c r="J71" s="1246">
        <f>[1]Сухари!J13</f>
        <v>170</v>
      </c>
      <c r="K71" s="1246">
        <f>[1]Сухари!K13</f>
        <v>190</v>
      </c>
      <c r="L71" s="1246">
        <f>[1]Сухари!L13</f>
        <v>180</v>
      </c>
      <c r="M71" s="1246">
        <f>[1]Сухари!M13</f>
        <v>260</v>
      </c>
      <c r="N71" s="1246">
        <f>[1]Сухари!N13</f>
        <v>150</v>
      </c>
      <c r="O71" s="1246">
        <f>[1]Сухари!O13</f>
        <v>350</v>
      </c>
      <c r="P71" s="1246">
        <f>[1]Сухари!P13</f>
        <v>320</v>
      </c>
      <c r="Q71" s="1246">
        <f>[1]Сухари!Q13</f>
        <v>202.5</v>
      </c>
      <c r="R71" s="1246"/>
      <c r="S71" s="1246">
        <f>[1]Сухари!T13</f>
        <v>438.3</v>
      </c>
      <c r="T71" s="1246">
        <f>[1]Сухари!U13</f>
        <v>246.3</v>
      </c>
      <c r="U71" s="1246">
        <f>[1]Сухари!V13</f>
        <v>684.6</v>
      </c>
      <c r="V71" s="1246">
        <f>[1]Сухари!W13</f>
        <v>711.98400000000004</v>
      </c>
      <c r="W71" s="140"/>
    </row>
    <row r="72" spans="1:23" x14ac:dyDescent="0.3">
      <c r="A72" s="1246"/>
      <c r="B72" s="1246">
        <f>[1]Сухари!B14</f>
        <v>135</v>
      </c>
      <c r="C72" s="1246">
        <f>[1]Сухари!C14</f>
        <v>1350</v>
      </c>
      <c r="D72" s="1246">
        <f>[1]Сухари!D14</f>
        <v>380</v>
      </c>
      <c r="E72" s="1246">
        <f>[1]Сухари!E14</f>
        <v>970</v>
      </c>
      <c r="F72" s="1246">
        <f>[1]Сухари!F14</f>
        <v>340</v>
      </c>
      <c r="G72" s="1246">
        <f>[1]Сухари!G14</f>
        <v>360</v>
      </c>
      <c r="H72" s="1246">
        <f>[1]Сухари!H14</f>
        <v>430</v>
      </c>
      <c r="I72" s="1246">
        <f>[1]Сухари!I14</f>
        <v>63</v>
      </c>
      <c r="J72" s="1246">
        <f>[1]Сухари!J14</f>
        <v>108</v>
      </c>
      <c r="K72" s="1246">
        <f>[1]Сухари!K14</f>
        <v>118</v>
      </c>
      <c r="L72" s="1246">
        <f>[1]Сухари!L14</f>
        <v>158</v>
      </c>
      <c r="M72" s="1246">
        <f>[1]Сухари!M14</f>
        <v>248</v>
      </c>
      <c r="N72" s="1246">
        <f>[1]Сухари!N14</f>
        <v>130</v>
      </c>
      <c r="O72" s="1246">
        <f>[1]Сухари!O14</f>
        <v>350</v>
      </c>
      <c r="P72" s="1246">
        <f>[1]Сухари!P14</f>
        <v>320</v>
      </c>
      <c r="Q72" s="1246">
        <f>[1]Сухари!Q14</f>
        <v>168</v>
      </c>
      <c r="R72" s="1246"/>
      <c r="S72" s="1246">
        <f>[1]Сухари!T14</f>
        <v>349</v>
      </c>
      <c r="T72" s="1246">
        <f>[1]Сухари!U14</f>
        <v>209.7</v>
      </c>
      <c r="U72" s="1246">
        <f>[1]Сухари!V14</f>
        <v>558.70000000000005</v>
      </c>
      <c r="V72" s="1246">
        <f>[1]Сухари!W14</f>
        <v>581.04800000000012</v>
      </c>
      <c r="W72" s="140"/>
    </row>
    <row r="73" spans="1:23" x14ac:dyDescent="0.3">
      <c r="A73" s="1246"/>
      <c r="B73" s="1246">
        <f>[1]Сухари!B15</f>
        <v>136</v>
      </c>
      <c r="C73" s="1246">
        <f>[1]Сухари!C15</f>
        <v>1280</v>
      </c>
      <c r="D73" s="1246">
        <f>[1]Сухари!D15</f>
        <v>380</v>
      </c>
      <c r="E73" s="1246">
        <f>[1]Сухари!E15</f>
        <v>900</v>
      </c>
      <c r="F73" s="1246">
        <f>[1]Сухари!F15</f>
        <v>405</v>
      </c>
      <c r="G73" s="1246">
        <f>[1]Сухари!G15</f>
        <v>420</v>
      </c>
      <c r="H73" s="1246">
        <f>[1]Сухари!H15</f>
        <v>500</v>
      </c>
      <c r="I73" s="1246">
        <f>[1]Сухари!I15</f>
        <v>35</v>
      </c>
      <c r="J73" s="1246">
        <f>[1]Сухари!J15</f>
        <v>65</v>
      </c>
      <c r="K73" s="1246">
        <f>[1]Сухари!K15</f>
        <v>75</v>
      </c>
      <c r="L73" s="1246">
        <f>[1]Сухари!L15</f>
        <v>130</v>
      </c>
      <c r="M73" s="1246">
        <f>[1]Сухари!M15</f>
        <v>200</v>
      </c>
      <c r="N73" s="1246">
        <f>[1]Сухари!N15</f>
        <v>130</v>
      </c>
      <c r="O73" s="1246">
        <f>[1]Сухари!O15</f>
        <v>310</v>
      </c>
      <c r="P73" s="1246">
        <f>[1]Сухари!P15</f>
        <v>250</v>
      </c>
      <c r="Q73" s="1246">
        <f>[1]Сухари!Q15</f>
        <v>164</v>
      </c>
      <c r="R73" s="1246"/>
      <c r="S73" s="1246">
        <f>[1]Сухари!T15</f>
        <v>329</v>
      </c>
      <c r="T73" s="1246">
        <f>[1]Сухари!U15</f>
        <v>213</v>
      </c>
      <c r="U73" s="1246">
        <f>[1]Сухари!V15</f>
        <v>542</v>
      </c>
      <c r="V73" s="1246">
        <f>[1]Сухари!W15</f>
        <v>563.68000000000006</v>
      </c>
      <c r="W73" s="140"/>
    </row>
    <row r="74" spans="1:23" x14ac:dyDescent="0.3">
      <c r="A74" s="1246"/>
      <c r="B74" s="1246">
        <f>[1]Сухари!B16</f>
        <v>137</v>
      </c>
      <c r="C74" s="1246">
        <f>[1]Сухари!C16</f>
        <v>1770</v>
      </c>
      <c r="D74" s="1246">
        <f>[1]Сухари!D16</f>
        <v>470</v>
      </c>
      <c r="E74" s="1246">
        <f>[1]Сухари!E16</f>
        <v>1300</v>
      </c>
      <c r="F74" s="1246">
        <f>[1]Сухари!F16</f>
        <v>480</v>
      </c>
      <c r="G74" s="1246">
        <f>[1]Сухари!G16</f>
        <v>500</v>
      </c>
      <c r="H74" s="1246">
        <f>[1]Сухари!H16</f>
        <v>555</v>
      </c>
      <c r="I74" s="1246">
        <f>[1]Сухари!I16</f>
        <v>100</v>
      </c>
      <c r="J74" s="1246">
        <f>[1]Сухари!J16</f>
        <v>160</v>
      </c>
      <c r="K74" s="1246">
        <f>[1]Сухари!K16</f>
        <v>170</v>
      </c>
      <c r="L74" s="1246">
        <f>[1]Сухари!L16</f>
        <v>310</v>
      </c>
      <c r="M74" s="1246">
        <f>[1]Сухари!M16</f>
        <v>430</v>
      </c>
      <c r="N74" s="1246">
        <f>[1]Сухари!N16</f>
        <v>160</v>
      </c>
      <c r="O74" s="1246">
        <f>[1]Сухари!O16</f>
        <v>400</v>
      </c>
      <c r="P74" s="1246">
        <f>[1]Сухари!P16</f>
        <v>400</v>
      </c>
      <c r="Q74" s="1246">
        <f>[1]Сухари!Q16</f>
        <v>177.5</v>
      </c>
      <c r="R74" s="1246"/>
      <c r="S74" s="1246">
        <f>[1]Сухари!T16</f>
        <v>937.6</v>
      </c>
      <c r="T74" s="1246">
        <f>[1]Сухари!U16</f>
        <v>563.4</v>
      </c>
      <c r="U74" s="1246">
        <f>[1]Сухари!V16</f>
        <v>1501</v>
      </c>
      <c r="V74" s="1246">
        <f>[1]Сухари!W16</f>
        <v>1561.04</v>
      </c>
      <c r="W74" s="140"/>
    </row>
    <row r="75" spans="1:23" x14ac:dyDescent="0.3">
      <c r="A75" s="1246"/>
      <c r="B75" s="1246"/>
      <c r="C75" s="1246"/>
      <c r="D75" s="1246"/>
      <c r="E75" s="1246"/>
      <c r="F75" s="1246"/>
      <c r="G75" s="1246"/>
      <c r="H75" s="1246"/>
      <c r="I75" s="1246"/>
      <c r="J75" s="1246"/>
      <c r="K75" s="1246"/>
      <c r="L75" s="1246"/>
      <c r="M75" s="1246"/>
      <c r="N75" s="1246"/>
      <c r="O75" s="1246"/>
      <c r="P75" s="1246"/>
      <c r="Q75" s="1246"/>
      <c r="R75" s="1246"/>
      <c r="S75" s="1246"/>
      <c r="T75" s="1246"/>
      <c r="U75" s="1246"/>
      <c r="V75" s="1246"/>
      <c r="W75" s="140"/>
    </row>
    <row r="76" spans="1:23" x14ac:dyDescent="0.3">
      <c r="A76" s="1246"/>
      <c r="B76" s="1246"/>
      <c r="C76" s="1246"/>
      <c r="D76" s="1246"/>
      <c r="E76" s="1246"/>
      <c r="F76" s="1246"/>
      <c r="G76" s="1246"/>
      <c r="H76" s="1246"/>
      <c r="I76" s="1246"/>
      <c r="J76" s="1246"/>
      <c r="K76" s="1246"/>
      <c r="L76" s="1246"/>
      <c r="M76" s="1246"/>
      <c r="N76" s="1246"/>
      <c r="O76" s="1246"/>
      <c r="P76" s="1246"/>
      <c r="Q76" s="1246"/>
      <c r="R76" s="1246"/>
      <c r="S76" s="1246"/>
      <c r="T76" s="1246"/>
      <c r="U76" s="1246"/>
      <c r="V76" s="1246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zoomScale="85" zoomScaleNormal="85" workbookViewId="0">
      <selection activeCell="H32" sqref="H32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404" customWidth="1"/>
    <col min="13" max="13" width="4.109375" style="1404" customWidth="1"/>
    <col min="14" max="14" width="11.44140625" style="1404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47" t="s">
        <v>281</v>
      </c>
      <c r="AC1" s="1047" t="s">
        <v>372</v>
      </c>
    </row>
    <row r="2" spans="1:57" ht="15.6" x14ac:dyDescent="0.3">
      <c r="C2" s="1437" t="s">
        <v>1231</v>
      </c>
      <c r="E2" s="1438" t="s">
        <v>1232</v>
      </c>
      <c r="Q2" s="531" t="s">
        <v>852</v>
      </c>
      <c r="Z2" s="486"/>
      <c r="AA2" s="1681" t="s">
        <v>838</v>
      </c>
      <c r="AB2" s="1681"/>
      <c r="AC2" s="1681"/>
      <c r="AE2" s="531" t="s">
        <v>844</v>
      </c>
      <c r="AF2" s="530"/>
      <c r="AG2" s="530"/>
      <c r="AI2" s="43"/>
      <c r="AJ2" s="43"/>
      <c r="AK2" s="531"/>
      <c r="AL2" s="530"/>
      <c r="AM2" s="530"/>
      <c r="AN2" s="530"/>
      <c r="AP2" s="530"/>
      <c r="AQ2" s="1038"/>
      <c r="AS2" s="531" t="s">
        <v>846</v>
      </c>
      <c r="AT2" s="530"/>
      <c r="AU2" s="530"/>
      <c r="AV2" s="43"/>
      <c r="AW2" s="43"/>
      <c r="AX2" s="43"/>
      <c r="AY2" s="531"/>
      <c r="AZ2" s="530"/>
      <c r="BA2" s="530"/>
      <c r="BB2" s="530"/>
      <c r="BC2" s="43"/>
      <c r="BD2" s="530"/>
      <c r="BE2" s="530"/>
    </row>
    <row r="3" spans="1:57" ht="15" thickBot="1" x14ac:dyDescent="0.35">
      <c r="H3" s="389"/>
      <c r="J3" s="487" t="s">
        <v>824</v>
      </c>
      <c r="P3" s="486"/>
      <c r="Q3" s="486"/>
      <c r="R3" s="486"/>
      <c r="S3" s="486"/>
      <c r="T3" s="486"/>
      <c r="U3" s="486"/>
      <c r="V3" s="486"/>
      <c r="W3" s="486"/>
      <c r="X3" s="43"/>
      <c r="Y3" s="487" t="s">
        <v>824</v>
      </c>
      <c r="Z3" s="59"/>
      <c r="AA3" s="43"/>
      <c r="AB3" s="43"/>
      <c r="AC3" s="43"/>
      <c r="AE3" s="486"/>
      <c r="AF3" s="486"/>
      <c r="AG3" s="486"/>
      <c r="AH3" s="486"/>
      <c r="AI3" s="486"/>
      <c r="AJ3" s="486"/>
      <c r="AK3" s="486"/>
      <c r="AL3" s="43"/>
      <c r="AM3" s="487" t="s">
        <v>824</v>
      </c>
      <c r="AN3" s="486"/>
      <c r="AO3" s="486"/>
      <c r="AP3" s="486"/>
      <c r="AQ3" s="43"/>
      <c r="AS3" s="486"/>
      <c r="AT3" s="486"/>
      <c r="AU3" s="486"/>
      <c r="AV3" s="486"/>
      <c r="AW3" s="486"/>
      <c r="AX3" s="486"/>
      <c r="AY3" s="486"/>
      <c r="AZ3" s="43"/>
      <c r="BA3" s="487" t="s">
        <v>824</v>
      </c>
      <c r="BB3" s="486"/>
      <c r="BC3" s="486"/>
      <c r="BD3" s="486"/>
      <c r="BE3" s="43"/>
    </row>
    <row r="4" spans="1:57" ht="15" thickBot="1" x14ac:dyDescent="0.35">
      <c r="B4" s="1"/>
      <c r="C4" s="1682" t="s">
        <v>0</v>
      </c>
      <c r="D4" s="1682"/>
      <c r="E4" s="1682"/>
      <c r="F4" s="1682"/>
      <c r="G4" s="1682"/>
      <c r="H4" s="2"/>
      <c r="I4" s="2"/>
      <c r="J4" s="1383" t="s">
        <v>1124</v>
      </c>
      <c r="K4" s="59"/>
      <c r="L4" s="1413" t="s">
        <v>825</v>
      </c>
      <c r="M4" s="1425"/>
      <c r="N4" s="1414" t="s">
        <v>825</v>
      </c>
      <c r="P4" s="1"/>
      <c r="Q4" s="1682" t="s">
        <v>0</v>
      </c>
      <c r="R4" s="1682"/>
      <c r="S4" s="1682"/>
      <c r="T4" s="1682"/>
      <c r="U4" s="1682"/>
      <c r="V4" s="1384"/>
      <c r="W4" s="2"/>
      <c r="X4" s="2"/>
      <c r="Y4" s="1383" t="s">
        <v>1124</v>
      </c>
      <c r="Z4" s="429"/>
      <c r="AA4" s="1402" t="s">
        <v>825</v>
      </c>
      <c r="AB4" s="549"/>
      <c r="AC4" s="1376" t="s">
        <v>825</v>
      </c>
      <c r="AE4" s="1"/>
      <c r="AF4" s="1682" t="s">
        <v>0</v>
      </c>
      <c r="AG4" s="1682"/>
      <c r="AH4" s="1682"/>
      <c r="AI4" s="1682"/>
      <c r="AJ4" s="1682"/>
      <c r="AK4" s="2"/>
      <c r="AL4" s="2"/>
      <c r="AM4" s="84" t="s">
        <v>1124</v>
      </c>
      <c r="AN4" s="59"/>
      <c r="AO4" s="557" t="s">
        <v>825</v>
      </c>
      <c r="AP4" s="558"/>
      <c r="AQ4" s="590" t="s">
        <v>825</v>
      </c>
      <c r="AS4" s="1"/>
      <c r="AT4" s="1682" t="s">
        <v>0</v>
      </c>
      <c r="AU4" s="1682"/>
      <c r="AV4" s="1682"/>
      <c r="AW4" s="1682"/>
      <c r="AX4" s="1682"/>
      <c r="AY4" s="2"/>
      <c r="AZ4" s="2"/>
      <c r="BA4" s="84" t="s">
        <v>1124</v>
      </c>
      <c r="BB4" s="59"/>
      <c r="BC4" s="557" t="s">
        <v>825</v>
      </c>
      <c r="BD4" s="558"/>
      <c r="BE4" s="559" t="s">
        <v>825</v>
      </c>
    </row>
    <row r="5" spans="1:57" ht="15" thickBot="1" x14ac:dyDescent="0.35">
      <c r="B5" s="4"/>
      <c r="C5" s="71" t="s">
        <v>2</v>
      </c>
      <c r="D5" s="71"/>
      <c r="E5" s="71"/>
      <c r="G5" s="538" t="s">
        <v>1271</v>
      </c>
      <c r="H5" s="488"/>
      <c r="I5" s="488"/>
      <c r="J5" s="8"/>
      <c r="K5" s="429"/>
      <c r="L5" s="1415" t="s">
        <v>826</v>
      </c>
      <c r="M5" s="1426"/>
      <c r="N5" s="1416" t="s">
        <v>827</v>
      </c>
      <c r="P5" s="4"/>
      <c r="Q5" s="71" t="s">
        <v>2</v>
      </c>
      <c r="R5" s="71"/>
      <c r="S5" s="71"/>
      <c r="T5" s="43"/>
      <c r="U5" s="7" t="s">
        <v>1251</v>
      </c>
      <c r="V5" s="547"/>
      <c r="W5" s="488"/>
      <c r="X5" s="488"/>
      <c r="Y5" s="8"/>
      <c r="Z5" s="4"/>
      <c r="AA5" s="1403" t="s">
        <v>826</v>
      </c>
      <c r="AB5" s="550"/>
      <c r="AC5" s="1377" t="s">
        <v>827</v>
      </c>
      <c r="AE5" s="4"/>
      <c r="AF5" s="71" t="s">
        <v>2</v>
      </c>
      <c r="AG5" s="71"/>
      <c r="AH5" s="71"/>
      <c r="AI5" s="43"/>
      <c r="AJ5" s="538" t="s">
        <v>1067</v>
      </c>
      <c r="AK5" s="488"/>
      <c r="AL5" s="488"/>
      <c r="AM5" s="8"/>
      <c r="AN5" s="429"/>
      <c r="AO5" s="560" t="s">
        <v>826</v>
      </c>
      <c r="AP5" s="561"/>
      <c r="AQ5" s="591" t="s">
        <v>840</v>
      </c>
      <c r="AS5" s="4"/>
      <c r="AT5" s="71" t="s">
        <v>2</v>
      </c>
      <c r="AU5" s="71"/>
      <c r="AV5" s="71"/>
      <c r="AW5" s="43"/>
      <c r="AX5" s="538" t="s">
        <v>1270</v>
      </c>
      <c r="AY5" s="488"/>
      <c r="AZ5" s="488"/>
      <c r="BA5" s="8"/>
      <c r="BB5" s="429"/>
      <c r="BC5" s="560" t="s">
        <v>826</v>
      </c>
      <c r="BD5" s="561"/>
      <c r="BE5" s="562" t="s">
        <v>840</v>
      </c>
    </row>
    <row r="6" spans="1:57" x14ac:dyDescent="0.3">
      <c r="B6" s="4"/>
      <c r="C6" s="59" t="s">
        <v>4</v>
      </c>
      <c r="D6" s="59"/>
      <c r="F6" s="489"/>
      <c r="G6" s="1445" t="s">
        <v>1274</v>
      </c>
      <c r="H6" s="59"/>
      <c r="I6" s="59"/>
      <c r="J6" s="10"/>
      <c r="K6" s="4"/>
      <c r="L6" s="1417">
        <v>0</v>
      </c>
      <c r="M6" s="1422"/>
      <c r="N6" s="1484">
        <v>0</v>
      </c>
      <c r="P6" s="4"/>
      <c r="Q6" s="59" t="s">
        <v>4</v>
      </c>
      <c r="R6" s="59"/>
      <c r="S6" s="43"/>
      <c r="T6" s="489"/>
      <c r="U6" s="1456" t="s">
        <v>1252</v>
      </c>
      <c r="V6" s="1058"/>
      <c r="W6" s="81"/>
      <c r="X6" s="59"/>
      <c r="Y6" s="10"/>
      <c r="Z6" s="4"/>
      <c r="AA6" s="551"/>
      <c r="AB6" s="552"/>
      <c r="AC6" s="587">
        <v>0</v>
      </c>
      <c r="AE6" s="4"/>
      <c r="AF6" s="59" t="s">
        <v>4</v>
      </c>
      <c r="AG6" s="59"/>
      <c r="AH6" s="43"/>
      <c r="AI6" s="489"/>
      <c r="AJ6" s="539" t="s">
        <v>1068</v>
      </c>
      <c r="AK6" s="59"/>
      <c r="AL6" s="59"/>
      <c r="AM6" s="10"/>
      <c r="AN6" s="4"/>
      <c r="AO6" s="563">
        <v>0</v>
      </c>
      <c r="AP6" s="564"/>
      <c r="AQ6" s="592">
        <v>0</v>
      </c>
      <c r="AS6" s="4"/>
      <c r="AT6" s="59" t="s">
        <v>4</v>
      </c>
      <c r="AU6" s="59"/>
      <c r="AV6" s="43"/>
      <c r="AW6" s="489"/>
      <c r="AX6" s="539" t="s">
        <v>1269</v>
      </c>
      <c r="AY6" s="59"/>
      <c r="AZ6" s="59"/>
      <c r="BA6" s="10"/>
      <c r="BB6" s="4"/>
      <c r="BC6" s="563">
        <v>0</v>
      </c>
      <c r="BD6" s="564"/>
      <c r="BE6" s="565">
        <v>0</v>
      </c>
    </row>
    <row r="7" spans="1:57" x14ac:dyDescent="0.3">
      <c r="B7" s="4"/>
      <c r="C7" s="59" t="s">
        <v>6</v>
      </c>
      <c r="D7" s="59"/>
      <c r="E7" s="59"/>
      <c r="G7" s="540" t="s">
        <v>1275</v>
      </c>
      <c r="H7" s="59"/>
      <c r="I7" s="59"/>
      <c r="J7" s="10"/>
      <c r="K7" s="4"/>
      <c r="L7" s="1417">
        <v>185</v>
      </c>
      <c r="M7" s="1422"/>
      <c r="N7" s="1485">
        <f>_xlfn.CEILING.MATH(L7+N19*2/0.985,5)</f>
        <v>195</v>
      </c>
      <c r="P7" s="4"/>
      <c r="Q7" s="59" t="s">
        <v>6</v>
      </c>
      <c r="R7" s="59"/>
      <c r="S7" s="59"/>
      <c r="T7" s="43"/>
      <c r="U7" s="1456" t="s">
        <v>1134</v>
      </c>
      <c r="V7" s="537"/>
      <c r="W7" s="81"/>
      <c r="X7" s="59"/>
      <c r="Y7" s="10"/>
      <c r="Z7" s="4"/>
      <c r="AA7" s="551">
        <v>500</v>
      </c>
      <c r="AB7" s="552"/>
      <c r="AC7" s="587">
        <f>AA18</f>
        <v>540</v>
      </c>
      <c r="AE7" s="4"/>
      <c r="AF7" s="59" t="s">
        <v>6</v>
      </c>
      <c r="AG7" s="59"/>
      <c r="AH7" s="59"/>
      <c r="AI7" s="43"/>
      <c r="AJ7" s="540" t="s">
        <v>7</v>
      </c>
      <c r="AK7" s="59"/>
      <c r="AL7" s="59"/>
      <c r="AM7" s="10"/>
      <c r="AN7" s="4"/>
      <c r="AO7" s="563">
        <v>435</v>
      </c>
      <c r="AP7" s="564"/>
      <c r="AQ7" s="593">
        <v>138</v>
      </c>
      <c r="AS7" s="4"/>
      <c r="AT7" s="59" t="s">
        <v>6</v>
      </c>
      <c r="AU7" s="59"/>
      <c r="AV7" s="59"/>
      <c r="AW7" s="43"/>
      <c r="AX7" s="540" t="s">
        <v>1134</v>
      </c>
      <c r="AY7" s="59"/>
      <c r="AZ7" s="59"/>
      <c r="BA7" s="10"/>
      <c r="BB7" s="4"/>
      <c r="BC7" s="563">
        <v>500</v>
      </c>
      <c r="BD7" s="564"/>
      <c r="BE7" s="566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41" t="s">
        <v>1276</v>
      </c>
      <c r="H8" s="59"/>
      <c r="I8" s="59"/>
      <c r="J8" s="10"/>
      <c r="K8" s="4"/>
      <c r="L8" s="1417">
        <v>0</v>
      </c>
      <c r="M8" s="1422"/>
      <c r="N8" s="1484">
        <v>0</v>
      </c>
      <c r="P8" s="4"/>
      <c r="Q8" s="59" t="s">
        <v>10</v>
      </c>
      <c r="R8" s="59"/>
      <c r="S8" s="59"/>
      <c r="T8" s="43"/>
      <c r="U8" s="1457">
        <v>1</v>
      </c>
      <c r="V8" s="1057"/>
      <c r="W8" s="1059"/>
      <c r="X8" s="59"/>
      <c r="Y8" s="10"/>
      <c r="Z8" s="59"/>
      <c r="AA8" s="551">
        <v>250</v>
      </c>
      <c r="AB8" s="552"/>
      <c r="AC8" s="587">
        <v>0</v>
      </c>
      <c r="AE8" s="4"/>
      <c r="AF8" s="59" t="s">
        <v>10</v>
      </c>
      <c r="AG8" s="59"/>
      <c r="AH8" s="59"/>
      <c r="AI8" s="43"/>
      <c r="AJ8" s="541" t="s">
        <v>11</v>
      </c>
      <c r="AK8" s="59"/>
      <c r="AL8" s="59"/>
      <c r="AM8" s="10"/>
      <c r="AN8" s="4"/>
      <c r="AO8" s="563">
        <v>0</v>
      </c>
      <c r="AP8" s="564"/>
      <c r="AQ8" s="592">
        <v>0</v>
      </c>
      <c r="AS8" s="4"/>
      <c r="AT8" s="59" t="s">
        <v>10</v>
      </c>
      <c r="AU8" s="59"/>
      <c r="AV8" s="59"/>
      <c r="AW8" s="43"/>
      <c r="AX8" s="541" t="s">
        <v>11</v>
      </c>
      <c r="AY8" s="59"/>
      <c r="AZ8" s="59"/>
      <c r="BA8" s="10"/>
      <c r="BB8" s="4"/>
      <c r="BC8" s="563">
        <v>250</v>
      </c>
      <c r="BD8" s="564"/>
      <c r="BE8" s="565">
        <v>0</v>
      </c>
    </row>
    <row r="9" spans="1:57" x14ac:dyDescent="0.3">
      <c r="B9" s="12"/>
      <c r="C9" s="71" t="s">
        <v>16</v>
      </c>
      <c r="D9" s="71"/>
      <c r="E9" s="71"/>
      <c r="F9" s="71"/>
      <c r="G9" s="547" t="s">
        <v>42</v>
      </c>
      <c r="H9" s="71"/>
      <c r="I9" s="71" t="s">
        <v>17</v>
      </c>
      <c r="J9" s="490">
        <f>G10/G12</f>
        <v>0.69577714809186064</v>
      </c>
      <c r="K9" s="1086"/>
      <c r="L9" s="1417"/>
      <c r="M9" s="1422"/>
      <c r="N9" s="1484">
        <v>0</v>
      </c>
      <c r="P9" s="12"/>
      <c r="Q9" s="71" t="s">
        <v>16</v>
      </c>
      <c r="R9" s="71"/>
      <c r="S9" s="71"/>
      <c r="T9" s="71"/>
      <c r="U9" s="1286" t="s">
        <v>15</v>
      </c>
      <c r="V9" s="542"/>
      <c r="W9" s="71"/>
      <c r="X9" s="360" t="s">
        <v>17</v>
      </c>
      <c r="Y9" s="490">
        <f>U10/U12</f>
        <v>0.58620689655172409</v>
      </c>
      <c r="Z9" s="183"/>
      <c r="AA9" s="551"/>
      <c r="AB9" s="552"/>
      <c r="AC9" s="587">
        <v>0</v>
      </c>
      <c r="AE9" s="12"/>
      <c r="AF9" s="71" t="s">
        <v>16</v>
      </c>
      <c r="AG9" s="71"/>
      <c r="AH9" s="71"/>
      <c r="AI9" s="71"/>
      <c r="AJ9" s="542" t="s">
        <v>31</v>
      </c>
      <c r="AK9" s="71"/>
      <c r="AL9" s="71" t="s">
        <v>17</v>
      </c>
      <c r="AM9" s="490">
        <f>AJ10/AJ12</f>
        <v>6.3492063492063489</v>
      </c>
      <c r="AN9" s="59"/>
      <c r="AO9" s="563"/>
      <c r="AP9" s="564"/>
      <c r="AQ9" s="592">
        <v>0</v>
      </c>
      <c r="AS9" s="12"/>
      <c r="AT9" s="71" t="s">
        <v>16</v>
      </c>
      <c r="AU9" s="71"/>
      <c r="AV9" s="71"/>
      <c r="AW9" s="71"/>
      <c r="AX9" s="542" t="s">
        <v>15</v>
      </c>
      <c r="AY9" s="71"/>
      <c r="AZ9" s="71" t="s">
        <v>17</v>
      </c>
      <c r="BA9" s="490">
        <f>AX10/AX12</f>
        <v>5.4618473895582333</v>
      </c>
      <c r="BB9" s="59"/>
      <c r="BC9" s="563">
        <v>0</v>
      </c>
      <c r="BD9" s="564"/>
      <c r="BE9" s="56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44">
        <f>ROUNDUP(L12,1)</f>
        <v>12.799999999999999</v>
      </c>
      <c r="H10" s="492"/>
      <c r="I10" s="59" t="s">
        <v>23</v>
      </c>
      <c r="J10" s="493">
        <f>G10/G16</f>
        <v>0.51978343440465036</v>
      </c>
      <c r="K10" s="1387"/>
      <c r="L10" s="1417">
        <v>68</v>
      </c>
      <c r="M10" s="1422"/>
      <c r="N10" s="1418">
        <v>440</v>
      </c>
      <c r="P10" s="4"/>
      <c r="Q10" s="59" t="s">
        <v>19</v>
      </c>
      <c r="R10" s="59"/>
      <c r="S10" s="59"/>
      <c r="T10" s="59"/>
      <c r="U10" s="1052">
        <f>IF(AA13=0,IF(AA12&gt;=100,ROUNDUP(AA12,0),ROUNDUP(AA12,1)),AA13)</f>
        <v>680</v>
      </c>
      <c r="V10" s="1055"/>
      <c r="W10" s="492"/>
      <c r="X10" s="173" t="s">
        <v>23</v>
      </c>
      <c r="Y10" s="493">
        <f>U10/U16</f>
        <v>0.29424491562094329</v>
      </c>
      <c r="Z10" s="183"/>
      <c r="AA10" s="551">
        <v>520</v>
      </c>
      <c r="AB10" s="552"/>
      <c r="AC10" s="587">
        <f>X19</f>
        <v>570</v>
      </c>
      <c r="AE10" s="4"/>
      <c r="AF10" s="59" t="s">
        <v>19</v>
      </c>
      <c r="AG10" s="59"/>
      <c r="AH10" s="59"/>
      <c r="AI10" s="59"/>
      <c r="AJ10" s="491">
        <f>IF(AO13=0,IF(AO12&gt;=100,ROUNDUP(AO12,0),ROUNDUP(AO12,1)),AO13)</f>
        <v>400</v>
      </c>
      <c r="AK10" s="492"/>
      <c r="AL10" s="59" t="s">
        <v>23</v>
      </c>
      <c r="AM10" s="493">
        <f>AJ10/AJ16</f>
        <v>1.3422818791946309</v>
      </c>
      <c r="AN10" s="183"/>
      <c r="AO10" s="563">
        <v>345</v>
      </c>
      <c r="AP10" s="564"/>
      <c r="AQ10" s="592">
        <v>540</v>
      </c>
      <c r="AS10" s="4"/>
      <c r="AT10" s="59" t="s">
        <v>19</v>
      </c>
      <c r="AU10" s="59"/>
      <c r="AV10" s="59"/>
      <c r="AW10" s="59"/>
      <c r="AX10" s="491">
        <f>IF(BC13=0,IF(BC12&gt;=100,ROUNDUP(BC12,0),ROUNDUP(BC12,1)),BC13)</f>
        <v>680</v>
      </c>
      <c r="AY10" s="492"/>
      <c r="AZ10" s="59" t="s">
        <v>23</v>
      </c>
      <c r="BA10" s="493">
        <f>AX10/AX16</f>
        <v>5.5737704918032787</v>
      </c>
      <c r="BB10" s="183"/>
      <c r="BC10" s="563">
        <v>520</v>
      </c>
      <c r="BD10" s="564"/>
      <c r="BE10" s="565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344">
        <f>N12</f>
        <v>91.983475133550002</v>
      </c>
      <c r="H11" s="59"/>
      <c r="I11" s="59"/>
      <c r="J11" s="18"/>
      <c r="K11" s="183"/>
      <c r="L11" s="1430">
        <f>VLOOKUP(G9,Данные!A3:I27,9,FALSE())</f>
        <v>7</v>
      </c>
      <c r="M11" s="1422"/>
      <c r="N11" s="1431">
        <f>L11</f>
        <v>7</v>
      </c>
      <c r="P11" s="4"/>
      <c r="Q11" s="59" t="s">
        <v>22</v>
      </c>
      <c r="R11" s="59"/>
      <c r="S11" s="59"/>
      <c r="T11" s="59"/>
      <c r="U11" s="1052">
        <f>IF(AC12&lt;100,ROUNDUP(AC12,1),ROUNDUP(AC12,0))</f>
        <v>1160</v>
      </c>
      <c r="V11" s="1055"/>
      <c r="W11" s="17"/>
      <c r="X11" s="59"/>
      <c r="Y11" s="18"/>
      <c r="Z11" s="524"/>
      <c r="AA11" s="554">
        <f>VLOOKUP(U9,Данные!A3:I27,9,FALSE())</f>
        <v>8.8800000000000008</v>
      </c>
      <c r="AB11" s="552"/>
      <c r="AC11" s="587">
        <f>AA11</f>
        <v>8.8800000000000008</v>
      </c>
      <c r="AE11" s="4"/>
      <c r="AF11" s="59" t="s">
        <v>22</v>
      </c>
      <c r="AG11" s="59"/>
      <c r="AH11" s="59"/>
      <c r="AI11" s="59"/>
      <c r="AJ11" s="491">
        <f>IF(AQ12&lt;100,ROUNDUP(AQ12,1),ROUNDUP(AQ12,0))</f>
        <v>63</v>
      </c>
      <c r="AK11" s="59"/>
      <c r="AL11" s="59"/>
      <c r="AM11" s="18"/>
      <c r="AN11" s="183"/>
      <c r="AO11" s="567">
        <f>VLOOKUP(AJ9,Данные!A3:I27,9,FALSE())</f>
        <v>7.8</v>
      </c>
      <c r="AP11" s="564"/>
      <c r="AQ11" s="594">
        <f>AO11</f>
        <v>7.8</v>
      </c>
      <c r="AS11" s="4"/>
      <c r="AT11" s="59" t="s">
        <v>22</v>
      </c>
      <c r="AU11" s="59"/>
      <c r="AV11" s="59"/>
      <c r="AW11" s="59"/>
      <c r="AX11" s="491">
        <f>ROUNDUP(BE12,1)</f>
        <v>124.5</v>
      </c>
      <c r="AY11" s="59"/>
      <c r="AZ11" s="59"/>
      <c r="BA11" s="18"/>
      <c r="BB11" s="183"/>
      <c r="BC11" s="567">
        <f>VLOOKUP(AX9,Данные!A3:I27,9,FALSE())</f>
        <v>8.8800000000000008</v>
      </c>
      <c r="BD11" s="564"/>
      <c r="BE11" s="568">
        <f>BC11</f>
        <v>8.8800000000000008</v>
      </c>
    </row>
    <row r="12" spans="1:57" ht="15" thickBot="1" x14ac:dyDescent="0.35">
      <c r="B12" s="4"/>
      <c r="C12" s="59" t="s">
        <v>81</v>
      </c>
      <c r="D12" s="59"/>
      <c r="E12" s="59"/>
      <c r="F12" s="59"/>
      <c r="G12" s="1344">
        <f>G11/G17</f>
        <v>18.396695026709999</v>
      </c>
      <c r="H12" s="59"/>
      <c r="I12" s="59"/>
      <c r="J12" s="18"/>
      <c r="K12" s="524"/>
      <c r="L12" s="1432">
        <f>((L7*L7-L8*L8)*3.1415926*L10*L11+(L6*L6-L7*L7)*L9*L11*3.14)/4000000</f>
        <v>12.794999801465002</v>
      </c>
      <c r="M12" s="1427"/>
      <c r="N12" s="1433">
        <f>((N7*N7-N8*N8)*3.1415926*N10*N11+(N6*N6-N8*N8)*N9*N11*3.1415926)/4000000</f>
        <v>91.983475133550002</v>
      </c>
      <c r="P12" s="4"/>
      <c r="Q12" s="59" t="s">
        <v>81</v>
      </c>
      <c r="R12" s="59"/>
      <c r="S12" s="59"/>
      <c r="T12" s="59"/>
      <c r="U12" s="1052">
        <f>ROUNDUP(U11/U17,1)</f>
        <v>1160</v>
      </c>
      <c r="V12" s="1056"/>
      <c r="W12" s="1059"/>
      <c r="X12" s="59"/>
      <c r="Y12" s="18"/>
      <c r="Z12" s="524"/>
      <c r="AA12" s="1451">
        <f>((AA7*AA7-AA8*AA8)*3.1415926*AA10*AA11+(AA6*AA6-AA7*AA7)*AA9*AA11*3.14)/4000000</f>
        <v>679.99771827000006</v>
      </c>
      <c r="AB12" s="555"/>
      <c r="AC12" s="588">
        <f>((AC7*AC7-AC8*AC8)*3.1415926*AC10*AC11+(AC6*AC6-AC7*AC7)*AC9*AC11*3.14)/4000000</f>
        <v>1159.218264093264</v>
      </c>
      <c r="AE12" s="4"/>
      <c r="AF12" s="59" t="s">
        <v>81</v>
      </c>
      <c r="AG12" s="59"/>
      <c r="AH12" s="59"/>
      <c r="AI12" s="59"/>
      <c r="AJ12" s="491">
        <f>AJ11/AJ17</f>
        <v>63</v>
      </c>
      <c r="AK12" s="59"/>
      <c r="AL12" s="59"/>
      <c r="AM12" s="18"/>
      <c r="AN12" s="524"/>
      <c r="AO12" s="569">
        <f>((AO7*AO7-AO8*AO8)*3.1415926*AO10*AO11+(AO6*AO6-AO7*AO7)*AO9*AO11*3.14)/4000000</f>
        <v>399.92825263672125</v>
      </c>
      <c r="AP12" s="570"/>
      <c r="AQ12" s="595">
        <f>((AQ7*AQ7-AQ8*AQ8)*3.1415926*AQ10*AQ11+(AQ6*AQ6-AQ7*AQ7)*AQ9*AQ11*3.14)/4000000</f>
        <v>62.999399416543199</v>
      </c>
      <c r="AS12" s="4"/>
      <c r="AT12" s="59" t="s">
        <v>81</v>
      </c>
      <c r="AU12" s="59"/>
      <c r="AV12" s="59"/>
      <c r="AW12" s="59"/>
      <c r="AX12" s="1344">
        <f>AX11/AX17</f>
        <v>124.5</v>
      </c>
      <c r="AY12" s="59"/>
      <c r="AZ12" s="59"/>
      <c r="BA12" s="18"/>
      <c r="BB12" s="524"/>
      <c r="BC12" s="569">
        <f>((BC7*BC7-BC8*BC8)*3.1415926*BC10*BC11+(BC6*BC6-BC7*BC7)*BC9*BC11*3.14)/4000000</f>
        <v>679.99771827000006</v>
      </c>
      <c r="BD12" s="570"/>
      <c r="BE12" s="571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44">
        <f>N25+N34</f>
        <v>118.39250246392801</v>
      </c>
      <c r="H13" s="59"/>
      <c r="I13" s="59"/>
      <c r="J13" s="18"/>
      <c r="K13" s="17"/>
      <c r="L13" s="1405"/>
      <c r="M13" s="1405"/>
      <c r="N13" s="1405"/>
      <c r="P13" s="4"/>
      <c r="Q13" s="59" t="s">
        <v>27</v>
      </c>
      <c r="R13" s="59"/>
      <c r="S13" s="59"/>
      <c r="T13" s="59"/>
      <c r="U13" s="1133">
        <f>IF(AC36&lt;100,ROUNDUP(AC36,1),ROUNDUP(AC36,0))</f>
        <v>2222</v>
      </c>
      <c r="V13" s="1056"/>
      <c r="W13" s="1059"/>
      <c r="X13" s="59"/>
      <c r="Y13" s="18"/>
      <c r="Z13" s="524"/>
      <c r="AA13" s="551"/>
      <c r="AB13" s="552"/>
      <c r="AC13" s="553"/>
      <c r="AE13" s="4"/>
      <c r="AF13" s="59" t="s">
        <v>27</v>
      </c>
      <c r="AG13" s="59"/>
      <c r="AH13" s="59"/>
      <c r="AI13" s="59"/>
      <c r="AJ13" s="491">
        <f>IF(AQ34&lt;100,ROUNDUP(AQ34,1),ROUNDUP(AQ34,0))</f>
        <v>286</v>
      </c>
      <c r="AK13" s="59"/>
      <c r="AL13" s="59"/>
      <c r="AM13" s="18"/>
      <c r="AN13" s="524"/>
      <c r="AO13" s="563"/>
      <c r="AP13" s="564"/>
      <c r="AQ13" s="568"/>
      <c r="AS13" s="4"/>
      <c r="AT13" s="59" t="s">
        <v>27</v>
      </c>
      <c r="AU13" s="59"/>
      <c r="AV13" s="59"/>
      <c r="AW13" s="59"/>
      <c r="AX13" s="491">
        <f>IF(BE34&lt;100,ROUNDUP(BE34,1),ROUNDUP(BE34,0))</f>
        <v>117</v>
      </c>
      <c r="AY13" s="59"/>
      <c r="AZ13" s="59"/>
      <c r="BA13" s="18"/>
      <c r="BB13" s="524"/>
      <c r="BC13" s="563"/>
      <c r="BD13" s="564"/>
      <c r="BE13" s="568"/>
    </row>
    <row r="14" spans="1:57" ht="15" thickBot="1" x14ac:dyDescent="0.35">
      <c r="B14" s="4"/>
      <c r="C14" s="59" t="s">
        <v>29</v>
      </c>
      <c r="D14" s="59"/>
      <c r="E14" s="59"/>
      <c r="F14" s="59"/>
      <c r="G14" s="1344">
        <f>G13/G17</f>
        <v>23.678500492785602</v>
      </c>
      <c r="H14" s="59"/>
      <c r="I14" s="59"/>
      <c r="J14" s="18"/>
      <c r="K14" s="524"/>
      <c r="L14" s="1419"/>
      <c r="M14" s="1420"/>
      <c r="N14" s="1408" t="s">
        <v>825</v>
      </c>
      <c r="P14" s="4"/>
      <c r="Q14" s="59" t="s">
        <v>29</v>
      </c>
      <c r="R14" s="59"/>
      <c r="S14" s="59"/>
      <c r="T14" s="59"/>
      <c r="U14" s="1052">
        <f>ROUNDUP(U13/U17,1)</f>
        <v>2222</v>
      </c>
      <c r="V14" s="1056"/>
      <c r="W14" s="1059"/>
      <c r="X14" s="59"/>
      <c r="Y14" s="18"/>
      <c r="Z14" s="524"/>
      <c r="AA14" s="548"/>
      <c r="AB14" s="552"/>
      <c r="AC14" s="1376" t="s">
        <v>825</v>
      </c>
      <c r="AE14" s="4"/>
      <c r="AF14" s="59" t="s">
        <v>29</v>
      </c>
      <c r="AG14" s="59"/>
      <c r="AH14" s="59"/>
      <c r="AI14" s="59"/>
      <c r="AJ14" s="491">
        <f>AJ13/AJ17</f>
        <v>286</v>
      </c>
      <c r="AK14" s="59"/>
      <c r="AL14" s="59"/>
      <c r="AM14" s="18"/>
      <c r="AN14" s="524"/>
      <c r="AO14" s="1040"/>
      <c r="AP14" s="573"/>
      <c r="AQ14" s="574"/>
      <c r="AS14" s="4"/>
      <c r="AT14" s="59" t="s">
        <v>29</v>
      </c>
      <c r="AU14" s="59"/>
      <c r="AV14" s="59"/>
      <c r="AW14" s="59"/>
      <c r="AX14" s="491">
        <f>AX13/AX17</f>
        <v>117</v>
      </c>
      <c r="AY14" s="59"/>
      <c r="AZ14" s="59"/>
      <c r="BA14" s="18"/>
      <c r="BB14" s="524"/>
      <c r="BC14" s="572"/>
      <c r="BD14" s="573"/>
      <c r="BE14" s="574"/>
    </row>
    <row r="15" spans="1:57" ht="15" thickBot="1" x14ac:dyDescent="0.35">
      <c r="B15" s="4"/>
      <c r="C15" s="59" t="s">
        <v>32</v>
      </c>
      <c r="D15" s="59"/>
      <c r="E15" s="59"/>
      <c r="F15" s="59"/>
      <c r="G15" s="1344">
        <f>G13*1.04</f>
        <v>123.12820256248513</v>
      </c>
      <c r="H15" s="59"/>
      <c r="I15" s="59"/>
      <c r="J15" s="18"/>
      <c r="K15" s="524"/>
      <c r="L15" s="1421"/>
      <c r="M15" s="1422"/>
      <c r="N15" s="1409" t="s">
        <v>785</v>
      </c>
      <c r="P15" s="4"/>
      <c r="Q15" s="59" t="s">
        <v>32</v>
      </c>
      <c r="R15" s="59"/>
      <c r="S15" s="59"/>
      <c r="T15" s="59"/>
      <c r="U15" s="1052">
        <f>IF(U13&lt;96,ROUNDUP(AC36*1.04,1),ROUNDUP(AC36*1.04,0))</f>
        <v>2311</v>
      </c>
      <c r="V15" s="1055"/>
      <c r="W15" s="1059"/>
      <c r="X15" s="59"/>
      <c r="Y15" s="18"/>
      <c r="Z15" s="524"/>
      <c r="AA15" s="615">
        <f>S32</f>
        <v>540</v>
      </c>
      <c r="AB15" s="552"/>
      <c r="AC15" s="1377" t="s">
        <v>828</v>
      </c>
      <c r="AE15" s="4"/>
      <c r="AF15" s="59" t="s">
        <v>32</v>
      </c>
      <c r="AG15" s="59"/>
      <c r="AH15" s="59"/>
      <c r="AI15" s="59"/>
      <c r="AJ15" s="491">
        <f>IF(AQ34&lt;96,ROUNDUP(AJ13*1.04,1),ROUNDUP(AJ13*1.04,0))</f>
        <v>298</v>
      </c>
      <c r="AK15" s="59"/>
      <c r="AL15" s="59"/>
      <c r="AM15" s="18"/>
      <c r="AN15" s="524"/>
      <c r="AO15" s="1039">
        <f>AH32</f>
        <v>200</v>
      </c>
      <c r="AP15" s="568"/>
      <c r="AQ15" s="590" t="s">
        <v>825</v>
      </c>
      <c r="AS15" s="4"/>
      <c r="AT15" s="59" t="s">
        <v>32</v>
      </c>
      <c r="AU15" s="59"/>
      <c r="AV15" s="59"/>
      <c r="AW15" s="59"/>
      <c r="AX15" s="491">
        <f>IF(BE34&lt;96,ROUNDUP(AX13*1.04,1),ROUNDUP(AX13*1.04,0))</f>
        <v>122</v>
      </c>
      <c r="AY15" s="59"/>
      <c r="AZ15" s="59"/>
      <c r="BA15" s="18"/>
      <c r="BB15" s="524"/>
      <c r="BC15" s="575"/>
      <c r="BD15" s="564"/>
      <c r="BE15" s="574" t="s">
        <v>825</v>
      </c>
    </row>
    <row r="16" spans="1:57" x14ac:dyDescent="0.3">
      <c r="B16" s="4"/>
      <c r="C16" s="59" t="s">
        <v>34</v>
      </c>
      <c r="D16" s="59"/>
      <c r="E16" s="59"/>
      <c r="F16" s="59"/>
      <c r="G16" s="1344">
        <f>G15/G17</f>
        <v>24.625640512497025</v>
      </c>
      <c r="H16" s="59"/>
      <c r="I16" s="59"/>
      <c r="J16" s="18"/>
      <c r="K16" s="524"/>
      <c r="L16" s="1421" t="s">
        <v>1219</v>
      </c>
      <c r="M16" s="1422"/>
      <c r="N16" s="1428">
        <f>(N7+(N7+N18*2))/2</f>
        <v>198</v>
      </c>
      <c r="P16" s="4"/>
      <c r="Q16" s="59" t="s">
        <v>34</v>
      </c>
      <c r="R16" s="59"/>
      <c r="S16" s="59"/>
      <c r="T16" s="59"/>
      <c r="U16" s="1052">
        <f>ROUNDUP(U15/U17,1)</f>
        <v>2311</v>
      </c>
      <c r="V16" s="1056"/>
      <c r="W16" s="1059"/>
      <c r="X16" s="59"/>
      <c r="Y16" s="18"/>
      <c r="Z16" s="524"/>
      <c r="AA16" s="1096">
        <v>540</v>
      </c>
      <c r="AB16" s="552"/>
      <c r="AC16" s="587">
        <v>0</v>
      </c>
      <c r="AE16" s="4"/>
      <c r="AF16" s="59" t="s">
        <v>34</v>
      </c>
      <c r="AG16" s="59"/>
      <c r="AH16" s="59"/>
      <c r="AI16" s="59"/>
      <c r="AJ16" s="491">
        <f>AJ15/AJ17</f>
        <v>298</v>
      </c>
      <c r="AK16" s="59"/>
      <c r="AL16" s="59"/>
      <c r="AM16" s="18"/>
      <c r="AN16" s="524"/>
      <c r="AO16" s="1448">
        <v>226</v>
      </c>
      <c r="AP16" s="568"/>
      <c r="AQ16" s="591" t="s">
        <v>841</v>
      </c>
      <c r="AS16" s="4"/>
      <c r="AT16" s="59" t="s">
        <v>34</v>
      </c>
      <c r="AU16" s="59"/>
      <c r="AV16" s="59"/>
      <c r="AW16" s="59"/>
      <c r="AX16" s="491">
        <f>AX15/AX17</f>
        <v>122</v>
      </c>
      <c r="AY16" s="59"/>
      <c r="AZ16" s="59"/>
      <c r="BA16" s="18"/>
      <c r="BB16" s="524"/>
      <c r="BC16" s="576">
        <f>AV32</f>
        <v>175</v>
      </c>
      <c r="BD16" s="564"/>
      <c r="BE16" s="562" t="s">
        <v>841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3">
        <v>5</v>
      </c>
      <c r="H17" s="65"/>
      <c r="I17" s="65"/>
      <c r="J17" s="1386"/>
      <c r="K17" s="524"/>
      <c r="L17" s="1421" t="s">
        <v>821</v>
      </c>
      <c r="M17" s="1422"/>
      <c r="N17" s="1429">
        <f>N10</f>
        <v>440</v>
      </c>
      <c r="P17" s="19"/>
      <c r="Q17" s="65" t="s">
        <v>36</v>
      </c>
      <c r="R17" s="65"/>
      <c r="S17" s="65"/>
      <c r="T17" s="65"/>
      <c r="U17" s="1053">
        <v>1</v>
      </c>
      <c r="V17" s="1053"/>
      <c r="W17" s="65"/>
      <c r="X17" s="65"/>
      <c r="Y17" s="1386"/>
      <c r="Z17" s="23"/>
      <c r="AA17" s="1247" t="e">
        <f>VLOOKUP(AA15,Стац.Болваны,2,FALSE)</f>
        <v>#N/A</v>
      </c>
      <c r="AB17" s="552"/>
      <c r="AC17" s="587">
        <f>AA18</f>
        <v>540</v>
      </c>
      <c r="AE17" s="19"/>
      <c r="AF17" s="65" t="s">
        <v>36</v>
      </c>
      <c r="AG17" s="65"/>
      <c r="AH17" s="65"/>
      <c r="AI17" s="65"/>
      <c r="AJ17" s="543">
        <v>1</v>
      </c>
      <c r="AK17" s="65"/>
      <c r="AL17" s="65"/>
      <c r="AM17" s="22"/>
      <c r="AN17" s="524"/>
      <c r="AO17" s="1039">
        <f>VLOOKUP(AH32,Стац.Болваны,2,FALSE)</f>
        <v>213</v>
      </c>
      <c r="AP17" s="564"/>
      <c r="AQ17" s="592">
        <v>0</v>
      </c>
      <c r="AS17" s="19"/>
      <c r="AT17" s="65" t="s">
        <v>36</v>
      </c>
      <c r="AU17" s="65"/>
      <c r="AV17" s="65"/>
      <c r="AW17" s="65"/>
      <c r="AX17" s="543">
        <v>1</v>
      </c>
      <c r="AY17" s="65"/>
      <c r="AZ17" s="65"/>
      <c r="BA17" s="22"/>
      <c r="BB17" s="524"/>
      <c r="BC17" s="576">
        <f>BC21/30+BC16</f>
        <v>183.66666666666666</v>
      </c>
      <c r="BD17" s="564"/>
      <c r="BE17" s="565">
        <v>0</v>
      </c>
    </row>
    <row r="18" spans="2:57" x14ac:dyDescent="0.3">
      <c r="B18" s="12"/>
      <c r="C18" s="60" t="s">
        <v>221</v>
      </c>
      <c r="D18" s="59"/>
      <c r="E18" s="59"/>
      <c r="F18" s="59"/>
      <c r="G18" s="59"/>
      <c r="H18" s="59"/>
      <c r="I18" s="23"/>
      <c r="J18" s="24"/>
      <c r="K18" s="23"/>
      <c r="L18" s="607" t="s">
        <v>1220</v>
      </c>
      <c r="M18" s="1422"/>
      <c r="N18" s="1429">
        <f>Данные!R199</f>
        <v>3</v>
      </c>
      <c r="P18" s="12"/>
      <c r="Q18" s="60" t="s">
        <v>221</v>
      </c>
      <c r="R18" s="59"/>
      <c r="S18" s="59"/>
      <c r="T18" s="59"/>
      <c r="U18" s="59"/>
      <c r="V18" s="59"/>
      <c r="W18" s="59"/>
      <c r="X18" s="23"/>
      <c r="Y18" s="24"/>
      <c r="Z18" s="23"/>
      <c r="AA18" s="589">
        <f>IF(AA16=0,(AA15+AA17)/2,(AA15+AA16)/2)</f>
        <v>540</v>
      </c>
      <c r="AB18" s="552"/>
      <c r="AC18" s="587">
        <v>0</v>
      </c>
      <c r="AE18" s="12"/>
      <c r="AF18" s="60" t="s">
        <v>221</v>
      </c>
      <c r="AG18" s="59"/>
      <c r="AH18" s="59"/>
      <c r="AI18" s="59"/>
      <c r="AJ18" s="59"/>
      <c r="AK18" s="59"/>
      <c r="AL18" s="23"/>
      <c r="AM18" s="24"/>
      <c r="AN18" s="23"/>
      <c r="AO18" s="1042">
        <f>(AO15+IF(AO16=0,AO17,AO16))/2</f>
        <v>213</v>
      </c>
      <c r="AP18" s="564"/>
      <c r="AQ18" s="593">
        <f>AO18</f>
        <v>213</v>
      </c>
      <c r="AS18" s="12"/>
      <c r="AT18" s="60" t="s">
        <v>221</v>
      </c>
      <c r="AU18" s="59"/>
      <c r="AV18" s="59"/>
      <c r="AW18" s="59"/>
      <c r="AX18" s="59"/>
      <c r="AY18" s="59"/>
      <c r="AZ18" s="23"/>
      <c r="BA18" s="24"/>
      <c r="BB18" s="23"/>
      <c r="BC18" s="575">
        <f>(BC16+BC17)/2</f>
        <v>179.33333333333331</v>
      </c>
      <c r="BD18" s="564"/>
      <c r="BE18" s="566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401">
        <f>N32</f>
        <v>430</v>
      </c>
      <c r="I19" s="494"/>
      <c r="J19" s="24"/>
      <c r="K19" s="23"/>
      <c r="L19" s="1423" t="s">
        <v>1221</v>
      </c>
      <c r="M19" s="1422"/>
      <c r="N19" s="1411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37">
        <f>IF(AC44=0,AC43,AC44)</f>
        <v>570</v>
      </c>
      <c r="Y19" s="24"/>
      <c r="Z19" s="23"/>
      <c r="AA19" s="587"/>
      <c r="AB19" s="552"/>
      <c r="AC19" s="58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1,   L=</v>
      </c>
      <c r="AG19" s="59"/>
      <c r="AH19" s="59"/>
      <c r="AI19" s="59"/>
      <c r="AJ19" s="59"/>
      <c r="AK19" s="43"/>
      <c r="AL19" s="537">
        <f>AQ43</f>
        <v>390</v>
      </c>
      <c r="AM19" s="24"/>
      <c r="AN19" s="23"/>
      <c r="AO19" s="1041"/>
      <c r="AP19" s="564"/>
      <c r="AQ19" s="59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37">
        <f>IF(AX17=1,AZ28,BE43)</f>
        <v>555</v>
      </c>
      <c r="BA19" s="24"/>
      <c r="BB19" s="23"/>
      <c r="BC19" s="575"/>
      <c r="BD19" s="564"/>
      <c r="BE19" s="56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7"/>
      <c r="M20" s="1422"/>
      <c r="N20" s="1410" t="s">
        <v>382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7">
        <f>T32</f>
        <v>660</v>
      </c>
      <c r="AB20" s="552"/>
      <c r="AC20" s="587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41"/>
      <c r="AP20" s="564"/>
      <c r="AQ20" s="59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5"/>
      <c r="BD20" s="564"/>
      <c r="BE20" s="56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7" t="s">
        <v>1223</v>
      </c>
      <c r="M21" s="1424"/>
      <c r="N21" s="1429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7"/>
      <c r="AA21" s="1458" t="s">
        <v>1182</v>
      </c>
      <c r="AB21" s="552"/>
      <c r="AC21" s="587">
        <f>AA11</f>
        <v>8.8800000000000008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41">
        <f>AI32</f>
        <v>780</v>
      </c>
      <c r="AP21" s="564"/>
      <c r="AQ21" s="592">
        <f>AI32</f>
        <v>780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5">
        <f>AW32</f>
        <v>260</v>
      </c>
      <c r="BD21" s="564"/>
      <c r="BE21" s="565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7"/>
      <c r="L22" s="1421" t="s">
        <v>1222</v>
      </c>
      <c r="M22" s="1422"/>
      <c r="N22" s="1434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7"/>
      <c r="AA22" s="1248"/>
      <c r="AB22" s="556"/>
      <c r="AC22" s="588">
        <f>((AC17*AC17-AC18*AC18)*3.1415926*AC20*AC21+(AC16*AC16-AC17*AC17)*AC19*AC21*3.14)/4000000</f>
        <v>1342.2527268448321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7"/>
      <c r="AO22" s="1041"/>
      <c r="AP22" s="564"/>
      <c r="AQ22" s="594">
        <f>AO11</f>
        <v>7.8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7"/>
      <c r="BC22" s="575"/>
      <c r="BD22" s="564"/>
      <c r="BE22" s="568">
        <f>BC11</f>
        <v>8.8800000000000008</v>
      </c>
    </row>
    <row r="23" spans="2:57" ht="15" thickBot="1" x14ac:dyDescent="0.35">
      <c r="B23" s="4"/>
      <c r="C23" s="495" t="s">
        <v>829</v>
      </c>
      <c r="D23" s="546">
        <f>ROUND(N7*0.985,0)</f>
        <v>192</v>
      </c>
      <c r="E23" s="59"/>
      <c r="F23" s="59"/>
      <c r="G23" s="59"/>
      <c r="H23" s="59"/>
      <c r="I23" s="29"/>
      <c r="J23" s="27"/>
      <c r="K23" s="187"/>
      <c r="L23" s="1421" t="s">
        <v>8</v>
      </c>
      <c r="M23" s="1422"/>
      <c r="N23" s="1412">
        <v>100</v>
      </c>
      <c r="P23" s="4"/>
      <c r="Q23" s="495" t="s">
        <v>829</v>
      </c>
      <c r="R23" s="496">
        <f>S32-S32/100*1.5</f>
        <v>531.9</v>
      </c>
      <c r="S23" s="59"/>
      <c r="T23" s="59"/>
      <c r="U23" s="59"/>
      <c r="V23" s="59"/>
      <c r="W23" s="59"/>
      <c r="X23" s="29"/>
      <c r="Y23" s="1250"/>
      <c r="Z23" s="187"/>
      <c r="AA23" s="43"/>
      <c r="AB23" s="43"/>
      <c r="AC23" s="43"/>
      <c r="AE23" s="4"/>
      <c r="AF23" s="495" t="s">
        <v>829</v>
      </c>
      <c r="AG23" s="496">
        <f>AH32-AH32/100*1.5</f>
        <v>197</v>
      </c>
      <c r="AH23" s="59"/>
      <c r="AI23" s="59"/>
      <c r="AJ23" s="59"/>
      <c r="AK23" s="59"/>
      <c r="AL23" s="29"/>
      <c r="AM23" s="1250"/>
      <c r="AN23" s="187"/>
      <c r="AO23" s="1041"/>
      <c r="AP23" s="564"/>
      <c r="AQ23" s="595">
        <f>((AQ18*AQ18-AQ19*AQ19)*3.1415926*AQ21*AQ22+(AQ17*AQ17-AQ18*AQ18)*AQ20*AQ22*3.1415926)/4000000</f>
        <v>216.78952121215741</v>
      </c>
      <c r="AS23" s="4"/>
      <c r="AT23" s="495" t="s">
        <v>829</v>
      </c>
      <c r="AU23" s="496">
        <f>AV32-AV32/100*1.5</f>
        <v>172.375</v>
      </c>
      <c r="AV23" s="59"/>
      <c r="AW23" s="59"/>
      <c r="AX23" s="59"/>
      <c r="AY23" s="59"/>
      <c r="AZ23" s="29"/>
      <c r="BA23" s="27"/>
      <c r="BB23" s="187"/>
      <c r="BC23" s="575"/>
      <c r="BD23" s="564"/>
      <c r="BE23" s="571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45" t="str">
        <f>"( "&amp;L7&amp;" )"</f>
        <v>( 185 )</v>
      </c>
      <c r="E24" s="497"/>
      <c r="F24" s="59"/>
      <c r="G24" s="59"/>
      <c r="H24" s="59"/>
      <c r="I24" s="29"/>
      <c r="J24" s="27"/>
      <c r="K24" s="187"/>
      <c r="L24" s="1421"/>
      <c r="M24" s="1422"/>
      <c r="N24" s="1435">
        <f>L11</f>
        <v>7</v>
      </c>
      <c r="P24" s="4"/>
      <c r="Q24" s="59"/>
      <c r="R24" s="545" t="str">
        <f>"( "&amp;IF(AA6=0,AA7,AA6)&amp;" )"</f>
        <v>( 500 )</v>
      </c>
      <c r="S24" s="497"/>
      <c r="T24" s="59"/>
      <c r="U24" s="59"/>
      <c r="V24" s="59"/>
      <c r="W24" s="59"/>
      <c r="X24" s="29"/>
      <c r="Y24" s="27"/>
      <c r="Z24" s="187"/>
      <c r="AA24" s="1128" t="s">
        <v>853</v>
      </c>
      <c r="AB24" s="1110"/>
      <c r="AC24" s="1460" t="s">
        <v>862</v>
      </c>
      <c r="AE24" s="4"/>
      <c r="AF24" s="59"/>
      <c r="AG24" s="545" t="str">
        <f>"( "&amp;AO7&amp;" )"</f>
        <v>( 435 )</v>
      </c>
      <c r="AH24" s="497"/>
      <c r="AI24" s="59"/>
      <c r="AJ24" s="59"/>
      <c r="AK24" s="59"/>
      <c r="AL24" s="29"/>
      <c r="AM24" s="27"/>
      <c r="AN24" s="187"/>
      <c r="AO24" s="1040"/>
      <c r="AP24" s="573"/>
      <c r="AQ24" s="577"/>
      <c r="AS24" s="4"/>
      <c r="AT24" s="59"/>
      <c r="AU24" s="545" t="str">
        <f>"( "&amp;BC7&amp;" )"</f>
        <v>( 500 )</v>
      </c>
      <c r="AV24" s="497"/>
      <c r="AW24" s="59"/>
      <c r="AX24" s="59"/>
      <c r="AY24" s="59"/>
      <c r="AZ24" s="29"/>
      <c r="BA24" s="27"/>
      <c r="BB24" s="187"/>
      <c r="BC24" s="572"/>
      <c r="BD24" s="573"/>
      <c r="BE24" s="577"/>
    </row>
    <row r="25" spans="2:57" ht="15" thickBot="1" x14ac:dyDescent="0.35">
      <c r="B25" s="4"/>
      <c r="C25" s="59"/>
      <c r="D25" s="173"/>
      <c r="E25" s="59"/>
      <c r="F25" s="59"/>
      <c r="G25" s="59"/>
      <c r="H25" s="59"/>
      <c r="I25" s="29"/>
      <c r="J25" s="27"/>
      <c r="K25" s="187"/>
      <c r="L25" s="1725"/>
      <c r="M25" s="1726"/>
      <c r="N25" s="1436">
        <f>((N16*N16)*3.1415926*N17*N24+(N22*N22)*N23*N24*3.1415296)/4000000</f>
        <v>118.39250246392801</v>
      </c>
      <c r="P25" s="4"/>
      <c r="Q25" s="59"/>
      <c r="R25" s="344"/>
      <c r="S25" s="59"/>
      <c r="T25" s="59"/>
      <c r="U25" s="59"/>
      <c r="V25" s="59"/>
      <c r="W25" s="59"/>
      <c r="X25" s="29"/>
      <c r="Y25" s="27"/>
      <c r="Z25" s="187"/>
      <c r="AA25" s="610" t="s">
        <v>1241</v>
      </c>
      <c r="AB25" s="611" t="b">
        <v>0</v>
      </c>
      <c r="AC25" s="612"/>
      <c r="AE25" s="4"/>
      <c r="AF25" s="59"/>
      <c r="AG25" s="173"/>
      <c r="AH25" s="59"/>
      <c r="AI25" s="59"/>
      <c r="AJ25" s="59"/>
      <c r="AK25" s="59"/>
      <c r="AL25" s="29"/>
      <c r="AM25" s="27"/>
      <c r="AN25" s="187"/>
      <c r="AO25" s="596"/>
      <c r="AP25" s="573"/>
      <c r="AQ25" s="590" t="s">
        <v>825</v>
      </c>
      <c r="AS25" s="4"/>
      <c r="AT25" s="59"/>
      <c r="AU25" s="173"/>
      <c r="AV25" s="59"/>
      <c r="AW25" s="59"/>
      <c r="AX25" s="59"/>
      <c r="AY25" s="59"/>
      <c r="AZ25" s="29"/>
      <c r="BA25" s="27"/>
      <c r="BB25" s="187"/>
      <c r="BC25" s="572"/>
      <c r="BD25" s="573"/>
      <c r="BE25" s="574" t="s">
        <v>825</v>
      </c>
    </row>
    <row r="26" spans="2:57" ht="15" customHeight="1" x14ac:dyDescent="0.3">
      <c r="B26" s="4"/>
      <c r="C26" s="59"/>
      <c r="D26" s="59"/>
      <c r="E26" s="59"/>
      <c r="F26" s="59"/>
      <c r="G26" s="499">
        <f>N10*0.985</f>
        <v>433.4</v>
      </c>
      <c r="H26" s="59"/>
      <c r="I26" s="1388" t="str">
        <f>"         "&amp;ROUND(N23*0.985,0)</f>
        <v xml:space="preserve">         99</v>
      </c>
      <c r="J26" s="27"/>
      <c r="K26" s="187"/>
      <c r="P26" s="4"/>
      <c r="Q26" s="59"/>
      <c r="R26" s="59"/>
      <c r="S26" s="59"/>
      <c r="T26" s="59"/>
      <c r="U26" s="499">
        <f>T34*0.985</f>
        <v>650.1</v>
      </c>
      <c r="V26" s="499"/>
      <c r="W26" s="59"/>
      <c r="X26" s="29"/>
      <c r="Y26" s="27"/>
      <c r="Z26" s="187"/>
      <c r="AA26" s="600"/>
      <c r="AB26" s="601"/>
      <c r="AC26" s="1376" t="s">
        <v>825</v>
      </c>
      <c r="AE26" s="4"/>
      <c r="AF26" s="59"/>
      <c r="AG26" s="59"/>
      <c r="AH26" s="59"/>
      <c r="AI26" s="59"/>
      <c r="AJ26" s="499">
        <f>AI34*0.985</f>
        <v>1024.4000000000001</v>
      </c>
      <c r="AK26" s="59"/>
      <c r="AL26" s="29"/>
      <c r="AM26" s="27"/>
      <c r="AN26" s="187"/>
      <c r="AO26" s="597">
        <f>AH33</f>
        <v>205</v>
      </c>
      <c r="AP26" s="573"/>
      <c r="AQ26" s="591" t="s">
        <v>843</v>
      </c>
      <c r="AS26" s="4"/>
      <c r="AT26" s="59"/>
      <c r="AU26" s="59"/>
      <c r="AV26" s="59"/>
      <c r="AW26" s="59"/>
      <c r="AX26" s="499">
        <f>AW34*0.985</f>
        <v>512.20000000000005</v>
      </c>
      <c r="AY26" s="59"/>
      <c r="AZ26" s="29"/>
      <c r="BA26" s="27"/>
      <c r="BB26" s="187"/>
      <c r="BC26" s="578">
        <f>AV33</f>
        <v>175</v>
      </c>
      <c r="BD26" s="573"/>
      <c r="BE26" s="562" t="s">
        <v>843</v>
      </c>
    </row>
    <row r="27" spans="2:57" ht="15" thickBot="1" x14ac:dyDescent="0.35">
      <c r="B27" s="4"/>
      <c r="C27" s="59"/>
      <c r="D27" s="31"/>
      <c r="E27" s="32"/>
      <c r="G27" s="545" t="str">
        <f>"( "&amp;L10&amp;" )"</f>
        <v>( 68 )</v>
      </c>
      <c r="H27" s="59"/>
      <c r="I27" s="30"/>
      <c r="J27" s="27"/>
      <c r="K27" s="187"/>
      <c r="L27" s="1585" t="s">
        <v>332</v>
      </c>
      <c r="M27" s="1716"/>
      <c r="N27" s="1586"/>
      <c r="P27" s="4"/>
      <c r="Q27" s="59"/>
      <c r="R27" s="31"/>
      <c r="S27" s="32"/>
      <c r="T27" s="43"/>
      <c r="U27" s="546" t="str">
        <f>"( "&amp;AA10&amp;" )"</f>
        <v>( 520 )</v>
      </c>
      <c r="V27" s="546"/>
      <c r="W27" s="171"/>
      <c r="X27" s="30"/>
      <c r="Y27" s="27"/>
      <c r="Z27" s="187"/>
      <c r="AA27" s="602">
        <f>VLOOKUP(AC24,Q57:W62,4,FALSE())</f>
        <v>360</v>
      </c>
      <c r="AB27" s="603"/>
      <c r="AC27" s="1377" t="s">
        <v>864</v>
      </c>
      <c r="AE27" s="4"/>
      <c r="AF27" s="59"/>
      <c r="AG27" s="31"/>
      <c r="AH27" s="32"/>
      <c r="AI27" s="43"/>
      <c r="AJ27" s="546" t="str">
        <f>"( "&amp;AO10&amp;" )"</f>
        <v>( 345 )</v>
      </c>
      <c r="AK27" s="59"/>
      <c r="AL27" s="30"/>
      <c r="AM27" s="27"/>
      <c r="AN27" s="187"/>
      <c r="AO27" s="597">
        <f>AO31/60+AO26</f>
        <v>209.33333333333334</v>
      </c>
      <c r="AP27" s="573"/>
      <c r="AQ27" s="592">
        <v>0</v>
      </c>
      <c r="AS27" s="4"/>
      <c r="AT27" s="59"/>
      <c r="AU27" s="31"/>
      <c r="AV27" s="32"/>
      <c r="AW27" s="43"/>
      <c r="AX27" s="546" t="str">
        <f>"( "&amp;BC10&amp;" )"</f>
        <v>( 520 )</v>
      </c>
      <c r="AY27" s="59"/>
      <c r="AZ27" s="30"/>
      <c r="BA27" s="27"/>
      <c r="BB27" s="187"/>
      <c r="BC27" s="578">
        <f>BC31/30+BC26</f>
        <v>183.66666666666666</v>
      </c>
      <c r="BD27" s="573"/>
      <c r="BE27" s="565">
        <v>0</v>
      </c>
    </row>
    <row r="28" spans="2:57" x14ac:dyDescent="0.3">
      <c r="B28" s="4"/>
      <c r="C28" s="59"/>
      <c r="E28" s="59"/>
      <c r="F28" s="173"/>
      <c r="J28" s="27"/>
      <c r="K28" s="187"/>
      <c r="L28" s="1724" t="s">
        <v>1121</v>
      </c>
      <c r="M28" s="1680"/>
      <c r="N28" s="1187">
        <f>L10</f>
        <v>68</v>
      </c>
      <c r="P28" s="4"/>
      <c r="Q28" s="59"/>
      <c r="R28" s="43"/>
      <c r="S28" s="59"/>
      <c r="T28" s="173"/>
      <c r="U28" s="43" t="s">
        <v>830</v>
      </c>
      <c r="W28" s="59"/>
      <c r="X28" s="494">
        <f>AC39+AC42</f>
        <v>570</v>
      </c>
      <c r="Y28" s="27"/>
      <c r="Z28" s="187"/>
      <c r="AA28" s="602">
        <f>VLOOKUP(AC24,Q57:W62,3,FALSE())</f>
        <v>620</v>
      </c>
      <c r="AB28" s="603"/>
      <c r="AC28" s="605">
        <v>0</v>
      </c>
      <c r="AE28" s="4"/>
      <c r="AF28" s="59"/>
      <c r="AG28" s="43"/>
      <c r="AH28" s="59"/>
      <c r="AI28" s="173"/>
      <c r="AJ28" s="43" t="s">
        <v>830</v>
      </c>
      <c r="AK28" s="59"/>
      <c r="AL28" s="494">
        <f>AQ39+AQ42</f>
        <v>380</v>
      </c>
      <c r="AM28" s="27"/>
      <c r="AN28" s="187"/>
      <c r="AO28" s="594">
        <f>(AO26+AO27)/2</f>
        <v>207.16666666666669</v>
      </c>
      <c r="AP28" s="573"/>
      <c r="AQ28" s="593">
        <f>AO28</f>
        <v>207.16666666666669</v>
      </c>
      <c r="AS28" s="4"/>
      <c r="AT28" s="59"/>
      <c r="AU28" s="43"/>
      <c r="AV28" s="59"/>
      <c r="AW28" s="173"/>
      <c r="AX28" s="43" t="s">
        <v>830</v>
      </c>
      <c r="AY28" s="59"/>
      <c r="AZ28" s="494">
        <f>BE39+BE42</f>
        <v>555</v>
      </c>
      <c r="BA28" s="27"/>
      <c r="BB28" s="187"/>
      <c r="BC28" s="575">
        <f>(BC26+BC27)/2</f>
        <v>179.33333333333331</v>
      </c>
      <c r="BD28" s="573"/>
      <c r="BE28" s="566">
        <f>BC28</f>
        <v>179.33333333333331</v>
      </c>
    </row>
    <row r="29" spans="2:57" ht="15" thickBot="1" x14ac:dyDescent="0.35">
      <c r="B29" s="4"/>
      <c r="C29" s="59"/>
      <c r="D29" s="498"/>
      <c r="G29" s="1486" t="s">
        <v>830</v>
      </c>
      <c r="H29" s="188"/>
      <c r="I29" s="1487">
        <f>L10+N31</f>
        <v>108</v>
      </c>
      <c r="J29" s="10"/>
      <c r="K29" s="187"/>
      <c r="L29" s="1724" t="s">
        <v>1122</v>
      </c>
      <c r="M29" s="1680"/>
      <c r="N29" s="1187">
        <f>G17</f>
        <v>5</v>
      </c>
      <c r="P29" s="4"/>
      <c r="Q29" s="81" t="str">
        <f>IF(AB25=TRUE,"Заливка прибыли на 1/2","")</f>
        <v/>
      </c>
      <c r="R29" s="498"/>
      <c r="S29" s="43"/>
      <c r="T29" s="43"/>
      <c r="U29" s="43"/>
      <c r="W29" s="43"/>
      <c r="X29" s="43"/>
      <c r="Y29" s="10"/>
      <c r="Z29" s="187"/>
      <c r="AA29" s="606">
        <f>(AA27+AA28)/2</f>
        <v>490</v>
      </c>
      <c r="AB29" s="603"/>
      <c r="AC29" s="605">
        <f>AA29</f>
        <v>490</v>
      </c>
      <c r="AE29" s="4"/>
      <c r="AF29" s="59"/>
      <c r="AG29" s="498"/>
      <c r="AH29" s="43"/>
      <c r="AI29" s="43"/>
      <c r="AJ29" s="43"/>
      <c r="AK29" s="43"/>
      <c r="AL29" s="43"/>
      <c r="AM29" s="10"/>
      <c r="AN29" s="187"/>
      <c r="AO29" s="594"/>
      <c r="AP29" s="573"/>
      <c r="AQ29" s="592">
        <v>0</v>
      </c>
      <c r="AS29" s="4"/>
      <c r="AT29" s="59"/>
      <c r="AU29" s="498"/>
      <c r="AV29" s="43"/>
      <c r="AW29" s="43"/>
      <c r="AX29" s="43"/>
      <c r="AY29" s="43"/>
      <c r="AZ29" s="43"/>
      <c r="BA29" s="10"/>
      <c r="BB29" s="187"/>
      <c r="BC29" s="575"/>
      <c r="BD29" s="573"/>
      <c r="BE29" s="565">
        <v>0</v>
      </c>
    </row>
    <row r="30" spans="2:57" ht="15" thickBot="1" x14ac:dyDescent="0.35">
      <c r="B30" s="4"/>
      <c r="C30" s="81" t="s">
        <v>1277</v>
      </c>
      <c r="D30" s="498"/>
      <c r="G30" s="498"/>
      <c r="H30" s="59"/>
      <c r="I30" s="494"/>
      <c r="J30" s="10"/>
      <c r="K30" s="187"/>
      <c r="L30" s="1724" t="s">
        <v>1123</v>
      </c>
      <c r="M30" s="1680"/>
      <c r="N30" s="1187">
        <f>IF(D23&lt;100,8,IF(AND(D23&gt;=100,D23&lt;200),10,20))</f>
        <v>10</v>
      </c>
      <c r="P30" s="1512" t="s">
        <v>831</v>
      </c>
      <c r="Q30" s="1587"/>
      <c r="R30" s="1587"/>
      <c r="S30" s="1587"/>
      <c r="T30" s="1587"/>
      <c r="U30" s="1587"/>
      <c r="V30" s="1587"/>
      <c r="W30" s="1587"/>
      <c r="X30" s="1587"/>
      <c r="Y30" s="1513"/>
      <c r="Z30" s="187"/>
      <c r="AA30" s="607"/>
      <c r="AB30" s="603"/>
      <c r="AC30" s="605">
        <v>0</v>
      </c>
      <c r="AE30" s="1512" t="s">
        <v>831</v>
      </c>
      <c r="AF30" s="1587"/>
      <c r="AG30" s="1587"/>
      <c r="AH30" s="1587"/>
      <c r="AI30" s="1587"/>
      <c r="AJ30" s="1587"/>
      <c r="AK30" s="1587"/>
      <c r="AL30" s="1587"/>
      <c r="AM30" s="1513"/>
      <c r="AN30" s="187"/>
      <c r="AO30" s="594"/>
      <c r="AP30" s="573"/>
      <c r="AQ30" s="592">
        <v>0</v>
      </c>
      <c r="AS30" s="1512" t="s">
        <v>831</v>
      </c>
      <c r="AT30" s="1587"/>
      <c r="AU30" s="1587"/>
      <c r="AV30" s="1587"/>
      <c r="AW30" s="1587"/>
      <c r="AX30" s="1587"/>
      <c r="AY30" s="1587"/>
      <c r="AZ30" s="1587"/>
      <c r="BA30" s="1513"/>
      <c r="BB30" s="187"/>
      <c r="BC30" s="575"/>
      <c r="BD30" s="573"/>
      <c r="BE30" s="565">
        <v>0</v>
      </c>
    </row>
    <row r="31" spans="2:57" ht="15" thickBot="1" x14ac:dyDescent="0.35">
      <c r="B31" s="1512" t="s">
        <v>831</v>
      </c>
      <c r="C31" s="1587"/>
      <c r="D31" s="1587"/>
      <c r="E31" s="1587"/>
      <c r="F31" s="1587"/>
      <c r="G31" s="1587"/>
      <c r="H31" s="1587"/>
      <c r="I31" s="1587"/>
      <c r="J31" s="1513"/>
      <c r="K31" s="187"/>
      <c r="L31" s="1724" t="s">
        <v>1045</v>
      </c>
      <c r="M31" s="1680"/>
      <c r="N31" s="1187">
        <f>IF(D23&lt;100,35,IF(AND(D23&gt;=100,D23&lt;200),40,50))</f>
        <v>40</v>
      </c>
      <c r="P31" s="536"/>
      <c r="Q31" s="55" t="s">
        <v>281</v>
      </c>
      <c r="R31" s="55"/>
      <c r="S31" s="581" t="s">
        <v>204</v>
      </c>
      <c r="T31" s="501" t="s">
        <v>89</v>
      </c>
      <c r="U31" s="502" t="s">
        <v>4</v>
      </c>
      <c r="V31" s="1054"/>
      <c r="W31" s="84"/>
      <c r="X31" s="503" t="s">
        <v>832</v>
      </c>
      <c r="Y31" s="535" t="s">
        <v>282</v>
      </c>
      <c r="Z31" s="187"/>
      <c r="AA31" s="607"/>
      <c r="AB31" s="603"/>
      <c r="AC31" s="605">
        <v>0</v>
      </c>
      <c r="AE31" s="536"/>
      <c r="AF31" s="55" t="s">
        <v>281</v>
      </c>
      <c r="AG31" s="55"/>
      <c r="AH31" s="500" t="s">
        <v>204</v>
      </c>
      <c r="AI31" s="501" t="s">
        <v>89</v>
      </c>
      <c r="AJ31" s="1695" t="s">
        <v>845</v>
      </c>
      <c r="AK31" s="1696"/>
      <c r="AL31" s="1697"/>
      <c r="AM31" s="535" t="s">
        <v>282</v>
      </c>
      <c r="AN31" s="187"/>
      <c r="AO31" s="594">
        <f>AI33</f>
        <v>260</v>
      </c>
      <c r="AP31" s="573"/>
      <c r="AQ31" s="592">
        <f>AO31</f>
        <v>260</v>
      </c>
      <c r="AS31" s="536"/>
      <c r="AT31" s="55" t="s">
        <v>281</v>
      </c>
      <c r="AU31" s="55"/>
      <c r="AV31" s="500" t="s">
        <v>204</v>
      </c>
      <c r="AW31" s="501" t="s">
        <v>89</v>
      </c>
      <c r="AX31" s="1695" t="s">
        <v>845</v>
      </c>
      <c r="AY31" s="1696"/>
      <c r="AZ31" s="1697"/>
      <c r="BA31" s="535" t="s">
        <v>282</v>
      </c>
      <c r="BB31" s="187"/>
      <c r="BC31" s="575">
        <f>AW33</f>
        <v>260</v>
      </c>
      <c r="BD31" s="573"/>
      <c r="BE31" s="565">
        <f>BC31</f>
        <v>260</v>
      </c>
    </row>
    <row r="32" spans="2:57" x14ac:dyDescent="0.3">
      <c r="B32" s="536"/>
      <c r="C32" s="1389" t="s">
        <v>50</v>
      </c>
      <c r="D32" s="55"/>
      <c r="E32" s="923"/>
      <c r="F32" s="1390"/>
      <c r="G32" s="979" t="str">
        <f>VLOOKUP(G9,Данные!A3:I27,6,FALSE())</f>
        <v>250010.00001</v>
      </c>
      <c r="H32" s="59"/>
      <c r="I32" s="55"/>
      <c r="J32" s="1391"/>
      <c r="K32" s="187"/>
      <c r="L32" s="43"/>
      <c r="M32" s="43"/>
      <c r="N32" s="1188">
        <f>IF(N29=1,N28+N31,N28*N29+N30*N29+N31)</f>
        <v>430</v>
      </c>
      <c r="P32" s="504"/>
      <c r="Q32" s="582" t="s">
        <v>833</v>
      </c>
      <c r="R32" s="436"/>
      <c r="S32" s="544">
        <v>540</v>
      </c>
      <c r="T32" s="505">
        <v>660</v>
      </c>
      <c r="U32" s="1713" t="e">
        <f>VLOOKUP(S32,Данные!AD79:AH1155,5,FALSE)</f>
        <v>#N/A</v>
      </c>
      <c r="V32" s="1714"/>
      <c r="W32" s="1715"/>
      <c r="X32" s="63"/>
      <c r="Y32" s="506"/>
      <c r="Z32" s="187"/>
      <c r="AA32" s="607">
        <f>VLOOKUP(AC24,Q57:W62,7,FALSE())</f>
        <v>525</v>
      </c>
      <c r="AB32" s="603"/>
      <c r="AC32" s="605">
        <f>AA32</f>
        <v>525</v>
      </c>
      <c r="AE32" s="504"/>
      <c r="AF32" s="103" t="s">
        <v>833</v>
      </c>
      <c r="AG32" s="436"/>
      <c r="AH32" s="544">
        <v>200</v>
      </c>
      <c r="AI32" s="532">
        <v>780</v>
      </c>
      <c r="AJ32" s="1698"/>
      <c r="AK32" s="1699"/>
      <c r="AL32" s="1700"/>
      <c r="AM32" s="506"/>
      <c r="AN32" s="187"/>
      <c r="AO32" s="598"/>
      <c r="AP32" s="573"/>
      <c r="AQ32" s="594">
        <f>AO11</f>
        <v>7.8</v>
      </c>
      <c r="AS32" s="504"/>
      <c r="AT32" s="71" t="s">
        <v>842</v>
      </c>
      <c r="AU32" s="436"/>
      <c r="AV32" s="544">
        <v>175</v>
      </c>
      <c r="AW32" s="532">
        <v>260</v>
      </c>
      <c r="AX32" s="1698" t="str">
        <f>VLOOKUP(AV32,Данные!AD79:AH1155,5,FALSE())</f>
        <v>72.11870 - 15</v>
      </c>
      <c r="AY32" s="1699"/>
      <c r="AZ32" s="1700"/>
      <c r="BA32" s="506"/>
      <c r="BB32" s="187"/>
      <c r="BC32" s="572"/>
      <c r="BD32" s="573"/>
      <c r="BE32" s="568">
        <f>BC11</f>
        <v>8.8800000000000008</v>
      </c>
    </row>
    <row r="33" spans="2:58" ht="15" thickBot="1" x14ac:dyDescent="0.35">
      <c r="B33" s="1392"/>
      <c r="C33" s="1389" t="s">
        <v>52</v>
      </c>
      <c r="D33" s="46"/>
      <c r="E33" s="1393"/>
      <c r="F33" s="1394"/>
      <c r="G33" s="173" t="s">
        <v>834</v>
      </c>
      <c r="H33" s="1395"/>
      <c r="I33" s="30"/>
      <c r="J33" s="1391"/>
      <c r="K33" s="187"/>
      <c r="P33" s="19"/>
      <c r="Q33" s="507" t="str">
        <f>IF(A1=FALSE,"Без приб.надставки","Прибыль ")</f>
        <v xml:space="preserve">Прибыль </v>
      </c>
      <c r="R33" s="40"/>
      <c r="S33" s="583"/>
      <c r="T33" s="811"/>
      <c r="U33" s="1673" t="str">
        <f>IF(A1=TRUE,AC24,"")</f>
        <v>И-335</v>
      </c>
      <c r="V33" s="1591"/>
      <c r="W33" s="1674"/>
      <c r="X33" s="508"/>
      <c r="Y33" s="509"/>
      <c r="Z33" s="187"/>
      <c r="AA33" s="607"/>
      <c r="AB33" s="603"/>
      <c r="AC33" s="604">
        <f>AA11</f>
        <v>8.8800000000000008</v>
      </c>
      <c r="AE33" s="19"/>
      <c r="AF33" s="65" t="s">
        <v>842</v>
      </c>
      <c r="AG33" s="40"/>
      <c r="AH33" s="533">
        <v>205</v>
      </c>
      <c r="AI33" s="533">
        <v>260</v>
      </c>
      <c r="AJ33" s="1676" t="str">
        <f>VLOOKUP(AH33,Данные!AD79:AH1155,5,FALSE)</f>
        <v>72.11870 - 27</v>
      </c>
      <c r="AK33" s="1677"/>
      <c r="AL33" s="1678"/>
      <c r="AM33" s="534"/>
      <c r="AN33" s="187"/>
      <c r="AO33" s="599"/>
      <c r="AP33" s="579"/>
      <c r="AQ33" s="595">
        <f>((AQ28*AQ28-AQ29*AQ29)*3.1415926*AQ31*AQ32+(AQ27*AQ27-AQ28*AQ28)*AQ30*AQ32*3.14)/4000000</f>
        <v>68.359295945943401</v>
      </c>
      <c r="AS33" s="19"/>
      <c r="AT33" s="65" t="s">
        <v>842</v>
      </c>
      <c r="AU33" s="40"/>
      <c r="AV33" s="533">
        <v>175</v>
      </c>
      <c r="AW33" s="533">
        <v>260</v>
      </c>
      <c r="AX33" s="1676" t="str">
        <f>VLOOKUP(AV33,Данные!AD79:AH1155,5,FALSE)</f>
        <v>72.11870 - 15</v>
      </c>
      <c r="AY33" s="1677"/>
      <c r="AZ33" s="1678"/>
      <c r="BA33" s="534"/>
      <c r="BB33" s="187"/>
      <c r="BC33" s="572"/>
      <c r="BD33" s="573"/>
      <c r="BE33" s="571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89" t="s">
        <v>1224</v>
      </c>
      <c r="D34" s="55"/>
      <c r="E34" s="1396"/>
      <c r="F34" s="1394"/>
      <c r="G34" s="1483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1225</v>
      </c>
      <c r="I34" s="30"/>
      <c r="J34" s="163"/>
      <c r="K34" s="187"/>
      <c r="N34" s="1407"/>
      <c r="P34" s="1"/>
      <c r="Q34" s="2" t="s">
        <v>287</v>
      </c>
      <c r="R34" s="2"/>
      <c r="S34" s="2"/>
      <c r="T34" s="510">
        <f>AC20</f>
        <v>660</v>
      </c>
      <c r="U34" s="2"/>
      <c r="V34" s="2"/>
      <c r="W34" s="2"/>
      <c r="X34" s="511"/>
      <c r="Y34" s="512"/>
      <c r="Z34" s="187"/>
      <c r="AA34" s="608"/>
      <c r="AB34" s="603"/>
      <c r="AC34" s="609">
        <f>((AC29*AC29-AC30*AC30)*3.1415926*AC32*AC33+(AC28*AC28-AC29*AC29)*AC31*AC33*3.14)/4000000</f>
        <v>879.13243468952999</v>
      </c>
      <c r="AE34" s="1"/>
      <c r="AF34" s="2" t="s">
        <v>287</v>
      </c>
      <c r="AG34" s="2"/>
      <c r="AH34" s="2"/>
      <c r="AI34" s="510">
        <f>AI32+AI33</f>
        <v>1040</v>
      </c>
      <c r="AJ34" s="2"/>
      <c r="AK34" s="2"/>
      <c r="AL34" s="511"/>
      <c r="AM34" s="512"/>
      <c r="AN34" s="187"/>
      <c r="AO34" s="1035" t="s">
        <v>1069</v>
      </c>
      <c r="AP34" s="1036"/>
      <c r="AQ34" s="1037">
        <f>AQ23+AQ33</f>
        <v>285.14881715810083</v>
      </c>
      <c r="AS34" s="1"/>
      <c r="AT34" s="2" t="s">
        <v>287</v>
      </c>
      <c r="AU34" s="2"/>
      <c r="AV34" s="2"/>
      <c r="AW34" s="510">
        <f>AW32+AW33</f>
        <v>520</v>
      </c>
      <c r="AX34" s="2"/>
      <c r="AY34" s="2"/>
      <c r="AZ34" s="511"/>
      <c r="BA34" s="512"/>
      <c r="BB34" s="187"/>
      <c r="BC34" s="1035" t="s">
        <v>1069</v>
      </c>
      <c r="BD34" s="1036"/>
      <c r="BE34" s="1037">
        <f>BE23+BE33</f>
        <v>116.63482048411369</v>
      </c>
      <c r="BF34" s="59"/>
    </row>
    <row r="35" spans="2:58" ht="15" thickBot="1" x14ac:dyDescent="0.35">
      <c r="B35" s="4"/>
      <c r="C35" s="1389" t="s">
        <v>57</v>
      </c>
      <c r="D35" s="55"/>
      <c r="E35" s="55"/>
      <c r="F35" s="489"/>
      <c r="G35" s="774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7"/>
      <c r="P35" s="12"/>
      <c r="Q35" s="513" t="s">
        <v>50</v>
      </c>
      <c r="R35" s="71"/>
      <c r="S35" s="71"/>
      <c r="T35" s="71"/>
      <c r="U35" s="513" t="str">
        <f>VLOOKUP(U9,Данные!A3:I27,6,FALSE())</f>
        <v>25010.00174</v>
      </c>
      <c r="V35" s="513"/>
      <c r="W35" s="71"/>
      <c r="X35" s="514"/>
      <c r="Y35" s="515"/>
      <c r="Z35" s="23"/>
      <c r="AA35" s="610" t="s">
        <v>1240</v>
      </c>
      <c r="AB35" s="611"/>
      <c r="AC35" s="1459">
        <f>AC34/2</f>
        <v>439.56621734476499</v>
      </c>
      <c r="AE35" s="12"/>
      <c r="AF35" s="513" t="s">
        <v>50</v>
      </c>
      <c r="AG35" s="71"/>
      <c r="AH35" s="71"/>
      <c r="AI35" s="71"/>
      <c r="AJ35" s="513" t="str">
        <f>VLOOKUP(AJ9,Данные!A3:I27,6,FALSE())</f>
        <v>25010.00176</v>
      </c>
      <c r="AK35" s="71"/>
      <c r="AL35" s="514"/>
      <c r="AM35" s="515"/>
      <c r="AN35" s="187"/>
      <c r="AO35" s="60"/>
      <c r="AP35" s="60"/>
      <c r="AQ35" s="1225"/>
      <c r="AS35" s="12"/>
      <c r="AT35" s="513" t="s">
        <v>50</v>
      </c>
      <c r="AU35" s="71"/>
      <c r="AV35" s="71"/>
      <c r="AW35" s="71"/>
      <c r="AX35" s="513" t="str">
        <f>VLOOKUP(AX9,Данные!A3:I27,6,FALSE())</f>
        <v>25010.00174</v>
      </c>
      <c r="AY35" s="71"/>
      <c r="AZ35" s="514"/>
      <c r="BA35" s="515"/>
      <c r="BB35" s="187"/>
      <c r="BC35" s="43"/>
      <c r="BD35" s="43"/>
      <c r="BE35" s="59"/>
    </row>
    <row r="36" spans="2:58" ht="15" thickBot="1" x14ac:dyDescent="0.35">
      <c r="B36" s="4"/>
      <c r="C36" s="1389" t="s">
        <v>60</v>
      </c>
      <c r="D36" s="55"/>
      <c r="E36" s="55"/>
      <c r="F36" s="59"/>
      <c r="G36" s="1488">
        <v>1.4999999999999999E-2</v>
      </c>
      <c r="H36" s="59"/>
      <c r="I36" s="28"/>
      <c r="J36" s="27"/>
      <c r="K36" s="23"/>
      <c r="P36" s="19"/>
      <c r="Q36" s="516" t="s">
        <v>52</v>
      </c>
      <c r="R36" s="65"/>
      <c r="S36" s="65"/>
      <c r="T36" s="65"/>
      <c r="U36" s="65" t="s">
        <v>834</v>
      </c>
      <c r="V36" s="65"/>
      <c r="W36" s="65"/>
      <c r="X36" s="517"/>
      <c r="Y36" s="202"/>
      <c r="Z36" s="23"/>
      <c r="AA36" s="43" t="s">
        <v>203</v>
      </c>
      <c r="AB36" s="43"/>
      <c r="AC36" s="1467">
        <f>IF(A1=TRUE,AC22+IF(AB25=TRUE,AC35,AC34),AC22)</f>
        <v>2221.3851615343619</v>
      </c>
      <c r="AE36" s="19"/>
      <c r="AF36" s="516" t="s">
        <v>52</v>
      </c>
      <c r="AG36" s="65"/>
      <c r="AH36" s="65"/>
      <c r="AI36" s="65"/>
      <c r="AJ36" s="65" t="s">
        <v>834</v>
      </c>
      <c r="AK36" s="65"/>
      <c r="AL36" s="517"/>
      <c r="AM36" s="202"/>
      <c r="AN36" s="187"/>
      <c r="AO36" s="60"/>
      <c r="AP36" s="60"/>
      <c r="AQ36" s="1225"/>
      <c r="AS36" s="19"/>
      <c r="AT36" s="516" t="s">
        <v>52</v>
      </c>
      <c r="AU36" s="65"/>
      <c r="AV36" s="65"/>
      <c r="AW36" s="65"/>
      <c r="AX36" s="65" t="s">
        <v>834</v>
      </c>
      <c r="AY36" s="65"/>
      <c r="AZ36" s="517"/>
      <c r="BA36" s="202"/>
      <c r="BB36" s="187"/>
      <c r="BC36" s="43"/>
      <c r="BD36" s="43"/>
      <c r="BE36" s="43"/>
    </row>
    <row r="37" spans="2:58" ht="15" thickBot="1" x14ac:dyDescent="0.35">
      <c r="B37" s="4"/>
      <c r="C37" s="55" t="s">
        <v>53</v>
      </c>
      <c r="D37" s="55"/>
      <c r="E37" s="55"/>
      <c r="F37" s="59"/>
      <c r="G37" s="979" t="s">
        <v>54</v>
      </c>
      <c r="H37" s="59"/>
      <c r="I37" s="28"/>
      <c r="J37" s="27"/>
      <c r="K37" s="23"/>
      <c r="P37" s="4"/>
      <c r="Q37" s="60" t="s">
        <v>289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289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289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89" t="s">
        <v>55</v>
      </c>
      <c r="D38" s="55"/>
      <c r="E38" s="55"/>
      <c r="F38" s="59"/>
      <c r="G38" s="979" t="s">
        <v>56</v>
      </c>
      <c r="H38" s="59"/>
      <c r="I38" s="29"/>
      <c r="J38" s="27"/>
      <c r="K38" s="23"/>
      <c r="P38" s="4"/>
      <c r="Q38" s="60" t="s">
        <v>290</v>
      </c>
      <c r="R38" s="59"/>
      <c r="S38" s="59"/>
      <c r="T38" s="59"/>
      <c r="U38" s="59"/>
      <c r="V38" s="59"/>
      <c r="W38" s="59"/>
      <c r="X38" s="23"/>
      <c r="Y38" s="24"/>
      <c r="Z38" s="59"/>
      <c r="AA38" s="1683" t="s">
        <v>332</v>
      </c>
      <c r="AB38" s="1684"/>
      <c r="AC38" s="1685"/>
      <c r="AE38" s="4"/>
      <c r="AF38" s="60" t="s">
        <v>290</v>
      </c>
      <c r="AG38" s="59"/>
      <c r="AH38" s="59"/>
      <c r="AI38" s="59"/>
      <c r="AJ38" s="59"/>
      <c r="AK38" s="59"/>
      <c r="AL38" s="23"/>
      <c r="AM38" s="24"/>
      <c r="AN38" s="23"/>
      <c r="AO38" s="1675" t="s">
        <v>332</v>
      </c>
      <c r="AP38" s="1675"/>
      <c r="AQ38" s="1675"/>
      <c r="AS38" s="4"/>
      <c r="AT38" s="60" t="s">
        <v>290</v>
      </c>
      <c r="AU38" s="59"/>
      <c r="AV38" s="59"/>
      <c r="AW38" s="59"/>
      <c r="AX38" s="59"/>
      <c r="AY38" s="59"/>
      <c r="AZ38" s="23"/>
      <c r="BA38" s="24"/>
      <c r="BB38" s="23"/>
      <c r="BC38" s="1675" t="s">
        <v>332</v>
      </c>
      <c r="BD38" s="1675"/>
      <c r="BE38" s="1675"/>
    </row>
    <row r="39" spans="2:58" ht="15" thickBot="1" x14ac:dyDescent="0.35">
      <c r="B39" s="12"/>
      <c r="C39" s="513" t="s">
        <v>289</v>
      </c>
      <c r="D39" s="71"/>
      <c r="E39" s="71"/>
      <c r="F39" s="71"/>
      <c r="G39" s="71"/>
      <c r="H39" s="71"/>
      <c r="I39" s="166"/>
      <c r="J39" s="167"/>
      <c r="K39" s="59"/>
      <c r="P39" s="4"/>
      <c r="Q39" s="60" t="s">
        <v>835</v>
      </c>
      <c r="R39" s="59"/>
      <c r="S39" s="59"/>
      <c r="T39" s="59"/>
      <c r="U39" s="59"/>
      <c r="V39" s="59"/>
      <c r="W39" s="59"/>
      <c r="X39" s="23"/>
      <c r="Y39" s="24"/>
      <c r="Z39" s="59"/>
      <c r="AA39" s="1679" t="s">
        <v>1121</v>
      </c>
      <c r="AB39" s="1680"/>
      <c r="AC39" s="1461">
        <f>AA10</f>
        <v>520</v>
      </c>
      <c r="AE39" s="4"/>
      <c r="AF39" s="60" t="s">
        <v>835</v>
      </c>
      <c r="AG39" s="59"/>
      <c r="AH39" s="59"/>
      <c r="AI39" s="59"/>
      <c r="AJ39" s="59"/>
      <c r="AK39" s="59"/>
      <c r="AL39" s="23"/>
      <c r="AM39" s="24"/>
      <c r="AN39" s="23"/>
      <c r="AO39" s="1672" t="s">
        <v>1121</v>
      </c>
      <c r="AP39" s="1672"/>
      <c r="AQ39" s="1187">
        <f>AO10</f>
        <v>345</v>
      </c>
      <c r="AS39" s="4"/>
      <c r="AT39" s="60" t="s">
        <v>835</v>
      </c>
      <c r="AU39" s="59"/>
      <c r="AV39" s="59"/>
      <c r="AW39" s="59"/>
      <c r="AX39" s="59"/>
      <c r="AY39" s="59"/>
      <c r="AZ39" s="23"/>
      <c r="BA39" s="24"/>
      <c r="BB39" s="23"/>
      <c r="BC39" s="1672" t="s">
        <v>1121</v>
      </c>
      <c r="BD39" s="1672"/>
      <c r="BE39" s="1187">
        <f>BC10</f>
        <v>520</v>
      </c>
    </row>
    <row r="40" spans="2:58" ht="15" thickBot="1" x14ac:dyDescent="0.35">
      <c r="B40" s="4"/>
      <c r="C40" s="60" t="s">
        <v>290</v>
      </c>
      <c r="D40" s="59"/>
      <c r="E40" s="59"/>
      <c r="F40" s="59"/>
      <c r="G40" s="59"/>
      <c r="H40" s="59"/>
      <c r="I40" s="23"/>
      <c r="J40" s="24"/>
      <c r="K40" s="59"/>
      <c r="P40" s="1512" t="s">
        <v>292</v>
      </c>
      <c r="Q40" s="1587"/>
      <c r="R40" s="1513"/>
      <c r="S40" s="107" t="s">
        <v>836</v>
      </c>
      <c r="T40" s="107" t="s">
        <v>295</v>
      </c>
      <c r="U40" s="107" t="s">
        <v>837</v>
      </c>
      <c r="V40" s="1512" t="s">
        <v>295</v>
      </c>
      <c r="W40" s="1513"/>
      <c r="X40" s="107" t="s">
        <v>296</v>
      </c>
      <c r="Y40" s="107" t="s">
        <v>295</v>
      </c>
      <c r="Z40" s="59"/>
      <c r="AA40" s="1679" t="s">
        <v>1122</v>
      </c>
      <c r="AB40" s="1680"/>
      <c r="AC40" s="1461">
        <f>U17</f>
        <v>1</v>
      </c>
      <c r="AE40" s="1"/>
      <c r="AF40" s="84" t="s">
        <v>292</v>
      </c>
      <c r="AG40" s="107"/>
      <c r="AH40" s="107" t="s">
        <v>836</v>
      </c>
      <c r="AI40" s="107" t="s">
        <v>295</v>
      </c>
      <c r="AJ40" s="107" t="s">
        <v>837</v>
      </c>
      <c r="AK40" s="107" t="s">
        <v>295</v>
      </c>
      <c r="AL40" s="107" t="s">
        <v>296</v>
      </c>
      <c r="AM40" s="107" t="s">
        <v>295</v>
      </c>
      <c r="AN40" s="59"/>
      <c r="AO40" s="1672" t="s">
        <v>1122</v>
      </c>
      <c r="AP40" s="1672"/>
      <c r="AQ40" s="1187">
        <f>AJ17</f>
        <v>1</v>
      </c>
      <c r="AS40" s="1512" t="s">
        <v>292</v>
      </c>
      <c r="AT40" s="1587"/>
      <c r="AU40" s="1513"/>
      <c r="AV40" s="107" t="s">
        <v>836</v>
      </c>
      <c r="AW40" s="107" t="s">
        <v>295</v>
      </c>
      <c r="AX40" s="107" t="s">
        <v>837</v>
      </c>
      <c r="AY40" s="107" t="s">
        <v>295</v>
      </c>
      <c r="AZ40" s="107" t="s">
        <v>296</v>
      </c>
      <c r="BA40" s="107" t="s">
        <v>295</v>
      </c>
      <c r="BB40" s="59"/>
      <c r="BC40" s="1672" t="s">
        <v>1122</v>
      </c>
      <c r="BD40" s="1672"/>
      <c r="BE40" s="1187">
        <f>AX17</f>
        <v>1</v>
      </c>
    </row>
    <row r="41" spans="2:58" ht="15" thickBot="1" x14ac:dyDescent="0.35">
      <c r="B41" s="19"/>
      <c r="C41" s="516" t="s">
        <v>835</v>
      </c>
      <c r="D41" s="65"/>
      <c r="E41" s="65"/>
      <c r="F41" s="65"/>
      <c r="G41" s="65"/>
      <c r="H41" s="65"/>
      <c r="I41" s="172"/>
      <c r="J41" s="76"/>
      <c r="K41" s="59"/>
      <c r="P41" s="1701">
        <f ca="1">TODAY()</f>
        <v>45420</v>
      </c>
      <c r="Q41" s="1720"/>
      <c r="R41" s="1721"/>
      <c r="S41" s="107" t="s">
        <v>265</v>
      </c>
      <c r="T41" s="518"/>
      <c r="U41" s="107" t="s">
        <v>266</v>
      </c>
      <c r="V41" s="1512"/>
      <c r="W41" s="1513"/>
      <c r="X41" s="107"/>
      <c r="Y41" s="107"/>
      <c r="Z41" s="59"/>
      <c r="AA41" s="1679" t="s">
        <v>1123</v>
      </c>
      <c r="AB41" s="1680"/>
      <c r="AC41" s="1461">
        <f>IF(R23&lt;100,8,IF(AND(R23&gt;=100,R23&lt;200),10,20))</f>
        <v>20</v>
      </c>
      <c r="AE41" s="1701">
        <f ca="1">TODAY()</f>
        <v>45420</v>
      </c>
      <c r="AF41" s="1702"/>
      <c r="AG41" s="1703"/>
      <c r="AH41" s="107" t="s">
        <v>265</v>
      </c>
      <c r="AI41" s="518"/>
      <c r="AJ41" s="107" t="s">
        <v>266</v>
      </c>
      <c r="AK41" s="107"/>
      <c r="AL41" s="107"/>
      <c r="AM41" s="107"/>
      <c r="AN41" s="59"/>
      <c r="AO41" s="1672" t="s">
        <v>1123</v>
      </c>
      <c r="AP41" s="1672"/>
      <c r="AQ41" s="1187">
        <f>IF(AG23&lt;100,8,IF(AND(AG23&gt;=100,AG23&lt;200),10,20))</f>
        <v>10</v>
      </c>
      <c r="AS41" s="1701">
        <f ca="1">TODAY()</f>
        <v>45420</v>
      </c>
      <c r="AT41" s="1702"/>
      <c r="AU41" s="1703"/>
      <c r="AV41" s="107" t="s">
        <v>265</v>
      </c>
      <c r="AW41" s="518"/>
      <c r="AX41" s="107" t="s">
        <v>266</v>
      </c>
      <c r="AY41" s="107"/>
      <c r="AZ41" s="107"/>
      <c r="BA41" s="107"/>
      <c r="BB41" s="59"/>
      <c r="BC41" s="1672" t="s">
        <v>1123</v>
      </c>
      <c r="BD41" s="1672"/>
      <c r="BE41" s="1187">
        <f>IF(AU23&lt;100,8,IF(AND(AU23&gt;=100,AU23&lt;200),10,20))</f>
        <v>10</v>
      </c>
    </row>
    <row r="42" spans="2:58" ht="15" thickBot="1" x14ac:dyDescent="0.35">
      <c r="B42" s="1"/>
      <c r="C42" s="84" t="s">
        <v>292</v>
      </c>
      <c r="D42" s="107"/>
      <c r="E42" s="107" t="s">
        <v>836</v>
      </c>
      <c r="F42" s="107" t="s">
        <v>295</v>
      </c>
      <c r="G42" s="107" t="s">
        <v>837</v>
      </c>
      <c r="H42" s="107" t="s">
        <v>295</v>
      </c>
      <c r="I42" s="107" t="s">
        <v>296</v>
      </c>
      <c r="J42" s="107" t="s">
        <v>295</v>
      </c>
      <c r="K42" s="59"/>
      <c r="P42" s="1717" t="s">
        <v>71</v>
      </c>
      <c r="Q42" s="1718"/>
      <c r="R42" s="1719"/>
      <c r="S42" s="107"/>
      <c r="T42" s="78"/>
      <c r="U42" s="107"/>
      <c r="V42" s="1512"/>
      <c r="W42" s="1513"/>
      <c r="X42" s="107"/>
      <c r="Y42" s="107"/>
      <c r="Z42" s="43"/>
      <c r="AA42" s="1679" t="s">
        <v>1045</v>
      </c>
      <c r="AB42" s="1680"/>
      <c r="AC42" s="1461">
        <f>IF(R23&lt;100,35,IF(AND(R23&gt;=100,R23&lt;200),40,50))</f>
        <v>50</v>
      </c>
      <c r="AE42" s="1"/>
      <c r="AF42" s="1718" t="s">
        <v>71</v>
      </c>
      <c r="AG42" s="1719"/>
      <c r="AH42" s="107"/>
      <c r="AI42" s="78"/>
      <c r="AJ42" s="107"/>
      <c r="AK42" s="107"/>
      <c r="AL42" s="107"/>
      <c r="AM42" s="107"/>
      <c r="AN42" s="59"/>
      <c r="AO42" s="1672" t="s">
        <v>1045</v>
      </c>
      <c r="AP42" s="1672"/>
      <c r="AQ42" s="1187">
        <f>IF(AF21&lt;100,35,IF(AND(AF21&gt;=100,AF21&lt;200),40,50))</f>
        <v>35</v>
      </c>
      <c r="AS42" s="1717" t="s">
        <v>71</v>
      </c>
      <c r="AT42" s="1718"/>
      <c r="AU42" s="1719"/>
      <c r="AV42" s="107"/>
      <c r="AW42" s="78"/>
      <c r="AX42" s="107"/>
      <c r="AY42" s="107"/>
      <c r="AZ42" s="107"/>
      <c r="BA42" s="107"/>
      <c r="BB42" s="59"/>
      <c r="BC42" s="1672" t="s">
        <v>1045</v>
      </c>
      <c r="BD42" s="1672"/>
      <c r="BE42" s="1187">
        <f>IF(AT21&lt;100,35,IF(AND(AT21&gt;=100,AT21&lt;200),40,50))</f>
        <v>35</v>
      </c>
    </row>
    <row r="43" spans="2:58" ht="15" thickBot="1" x14ac:dyDescent="0.35">
      <c r="B43" s="1701">
        <f ca="1">TODAY()</f>
        <v>45420</v>
      </c>
      <c r="C43" s="1702"/>
      <c r="D43" s="1703"/>
      <c r="E43" s="107" t="s">
        <v>265</v>
      </c>
      <c r="F43" s="518"/>
      <c r="G43" s="107" t="s">
        <v>266</v>
      </c>
      <c r="H43" s="107"/>
      <c r="I43" s="107" t="s">
        <v>265</v>
      </c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63"/>
      <c r="AB43" s="1464"/>
      <c r="AC43" s="1462">
        <f>IF(AC40=1,X28,AC39*AC40+AC41*AC40+AC42)</f>
        <v>570</v>
      </c>
      <c r="AN43" s="59"/>
      <c r="AO43" s="43"/>
      <c r="AP43" s="43"/>
      <c r="AQ43" s="1188">
        <f>AQ39*AQ40+AQ41*AQ40+AQ42</f>
        <v>390</v>
      </c>
      <c r="BC43" s="43"/>
      <c r="BD43" s="43"/>
      <c r="BE43" s="1188">
        <f>BE39*BE40+BE41*BE40+BE42</f>
        <v>565</v>
      </c>
    </row>
    <row r="44" spans="2:58" ht="15" thickBot="1" x14ac:dyDescent="0.35">
      <c r="B44" s="1"/>
      <c r="C44" s="519" t="s">
        <v>71</v>
      </c>
      <c r="D44" s="107"/>
      <c r="E44" s="107"/>
      <c r="F44" s="78"/>
      <c r="G44" s="107"/>
      <c r="H44" s="107"/>
      <c r="I44" s="107"/>
      <c r="J44" s="107"/>
      <c r="K44" s="59"/>
      <c r="P44" s="43"/>
      <c r="Q44" s="1585" t="s">
        <v>90</v>
      </c>
      <c r="R44" s="1716"/>
      <c r="S44" s="1716"/>
      <c r="T44" s="1716"/>
      <c r="U44" s="1716"/>
      <c r="V44" s="1716"/>
      <c r="W44" s="1716"/>
      <c r="X44" s="1716"/>
      <c r="Y44" s="1586"/>
      <c r="Z44" s="43"/>
      <c r="AA44" s="610"/>
      <c r="AB44" s="1465"/>
      <c r="AC44" s="70"/>
      <c r="AE44" s="1585" t="s">
        <v>90</v>
      </c>
      <c r="AF44" s="1716"/>
      <c r="AG44" s="1716"/>
      <c r="AH44" s="1716"/>
      <c r="AI44" s="1716"/>
      <c r="AJ44" s="1716"/>
      <c r="AK44" s="1716"/>
      <c r="AL44" s="1716"/>
      <c r="AM44" s="1586"/>
      <c r="AS44" s="1099"/>
      <c r="AT44" s="1099"/>
      <c r="AU44" s="1099"/>
      <c r="AV44" s="1099"/>
      <c r="AW44" s="1099"/>
      <c r="AX44" s="1099"/>
      <c r="AY44" s="1099"/>
      <c r="AZ44" s="1099"/>
      <c r="BA44" s="1099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704" t="e">
        <f>VLOOKUP(AA15,Стац.Болваны,5,FALSE)</f>
        <v>#N/A</v>
      </c>
      <c r="R45" s="1705"/>
      <c r="S45" s="1705"/>
      <c r="T45" s="1705"/>
      <c r="U45" s="1705"/>
      <c r="V45" s="1705"/>
      <c r="W45" s="1705"/>
      <c r="X45" s="1705"/>
      <c r="Y45" s="1706"/>
      <c r="Z45" s="43"/>
      <c r="AA45" s="43"/>
      <c r="AB45" s="43"/>
      <c r="AE45" s="1686" t="str">
        <f>IF(VLOOKUP(AH32,Стац.Болваны,5,FALSE)=0,"",VLOOKUP(AH32,Стац.Болваны,5,FALSE))</f>
        <v/>
      </c>
      <c r="AF45" s="1687"/>
      <c r="AG45" s="1687"/>
      <c r="AH45" s="1687"/>
      <c r="AI45" s="1687"/>
      <c r="AJ45" s="1687"/>
      <c r="AK45" s="1687"/>
      <c r="AL45" s="1687"/>
      <c r="AM45" s="1688"/>
      <c r="AO45" s="43"/>
      <c r="AP45" s="43"/>
      <c r="AQ45" s="43"/>
      <c r="AS45" s="1256"/>
      <c r="AT45" s="1256"/>
      <c r="AU45" s="1256"/>
      <c r="AV45" s="1256"/>
      <c r="AW45" s="1256"/>
      <c r="AX45" s="1256"/>
      <c r="AY45" s="1256"/>
      <c r="AZ45" s="1256"/>
      <c r="BA45" s="1256"/>
    </row>
    <row r="46" spans="2:58" ht="14.4" customHeight="1" x14ac:dyDescent="0.3">
      <c r="B46" s="12"/>
      <c r="C46" s="71" t="s">
        <v>1226</v>
      </c>
      <c r="D46" s="71"/>
      <c r="E46" s="1397" t="s">
        <v>297</v>
      </c>
      <c r="F46" s="1385" t="s">
        <v>298</v>
      </c>
      <c r="G46" s="1398" t="s">
        <v>298</v>
      </c>
      <c r="H46" s="513" t="s">
        <v>299</v>
      </c>
      <c r="I46" s="1727" t="s">
        <v>300</v>
      </c>
      <c r="J46" s="1728"/>
      <c r="K46" s="59"/>
      <c r="P46" s="43"/>
      <c r="Q46" s="1707"/>
      <c r="R46" s="1708"/>
      <c r="S46" s="1708"/>
      <c r="T46" s="1708"/>
      <c r="U46" s="1708"/>
      <c r="V46" s="1708"/>
      <c r="W46" s="1708"/>
      <c r="X46" s="1708"/>
      <c r="Y46" s="1709"/>
      <c r="Z46" s="43"/>
      <c r="AA46" s="43"/>
      <c r="AB46" s="43"/>
      <c r="AC46" s="43"/>
      <c r="AE46" s="1689"/>
      <c r="AF46" s="1690"/>
      <c r="AG46" s="1690"/>
      <c r="AH46" s="1690"/>
      <c r="AI46" s="1690"/>
      <c r="AJ46" s="1690"/>
      <c r="AK46" s="1690"/>
      <c r="AL46" s="1690"/>
      <c r="AM46" s="1691"/>
      <c r="AS46" s="1256"/>
      <c r="AT46" s="1256"/>
      <c r="AU46" s="1256"/>
      <c r="AV46" s="1256"/>
      <c r="AW46" s="1256"/>
      <c r="AX46" s="1256"/>
      <c r="AY46" s="1256"/>
      <c r="AZ46" s="1256"/>
      <c r="BA46" s="1256"/>
    </row>
    <row r="47" spans="2:58" ht="14.4" customHeight="1" thickBot="1" x14ac:dyDescent="0.35">
      <c r="B47" s="4"/>
      <c r="C47" s="60" t="s">
        <v>301</v>
      </c>
      <c r="D47" s="59"/>
      <c r="E47" s="1399" t="s">
        <v>302</v>
      </c>
      <c r="F47" s="524" t="s">
        <v>303</v>
      </c>
      <c r="G47" s="1400" t="s">
        <v>1227</v>
      </c>
      <c r="H47" s="59"/>
      <c r="I47" s="1722" t="s">
        <v>1228</v>
      </c>
      <c r="J47" s="1723"/>
      <c r="K47" s="59"/>
      <c r="P47" s="43"/>
      <c r="Q47" s="1707"/>
      <c r="R47" s="1708"/>
      <c r="S47" s="1708"/>
      <c r="T47" s="1708"/>
      <c r="U47" s="1708"/>
      <c r="V47" s="1708"/>
      <c r="W47" s="1708"/>
      <c r="X47" s="1708"/>
      <c r="Y47" s="1709"/>
      <c r="Z47" s="43"/>
      <c r="AA47" s="43"/>
      <c r="AB47" s="43"/>
      <c r="AC47" s="43"/>
      <c r="AE47" s="1689"/>
      <c r="AF47" s="1690"/>
      <c r="AG47" s="1690"/>
      <c r="AH47" s="1690"/>
      <c r="AI47" s="1690"/>
      <c r="AJ47" s="1690"/>
      <c r="AK47" s="1690"/>
      <c r="AL47" s="1690"/>
      <c r="AM47" s="1691"/>
      <c r="AS47" s="1256"/>
      <c r="AT47" s="1256"/>
      <c r="AU47" s="1256"/>
      <c r="AV47" s="1256"/>
      <c r="AW47" s="1256"/>
      <c r="AX47" s="1256"/>
      <c r="AY47" s="1256"/>
      <c r="AZ47" s="1256"/>
      <c r="BA47" s="1256"/>
    </row>
    <row r="48" spans="2:58" ht="14.4" customHeight="1" x14ac:dyDescent="0.3">
      <c r="B48" s="12"/>
      <c r="C48" s="513" t="s">
        <v>1229</v>
      </c>
      <c r="D48" s="71"/>
      <c r="E48" s="1523">
        <v>40</v>
      </c>
      <c r="F48" s="1523">
        <v>1</v>
      </c>
      <c r="G48" s="1523">
        <v>20</v>
      </c>
      <c r="H48" s="1523">
        <v>3</v>
      </c>
      <c r="I48" s="1729">
        <f>1.152/G17</f>
        <v>0.23039999999999999</v>
      </c>
      <c r="J48" s="1730"/>
      <c r="K48" s="59"/>
      <c r="P48" s="43"/>
      <c r="Q48" s="1710"/>
      <c r="R48" s="1711"/>
      <c r="S48" s="1711"/>
      <c r="T48" s="1711"/>
      <c r="U48" s="1711"/>
      <c r="V48" s="1711"/>
      <c r="W48" s="1711"/>
      <c r="X48" s="1711"/>
      <c r="Y48" s="1712"/>
      <c r="Z48" s="43"/>
      <c r="AA48" s="43"/>
      <c r="AB48" s="43"/>
      <c r="AC48" s="43"/>
      <c r="AE48" s="1692"/>
      <c r="AF48" s="1693"/>
      <c r="AG48" s="1693"/>
      <c r="AH48" s="1693"/>
      <c r="AI48" s="1693"/>
      <c r="AJ48" s="1693"/>
      <c r="AK48" s="1693"/>
      <c r="AL48" s="1693"/>
      <c r="AM48" s="1694"/>
      <c r="AS48" s="1256"/>
      <c r="AT48" s="1256"/>
      <c r="AU48" s="1256"/>
      <c r="AV48" s="1256"/>
      <c r="AW48" s="1256"/>
      <c r="AX48" s="1256"/>
      <c r="AY48" s="1256"/>
      <c r="AZ48" s="1256"/>
      <c r="BA48" s="1256"/>
    </row>
    <row r="49" spans="2:31" ht="15" thickBot="1" x14ac:dyDescent="0.35">
      <c r="B49" s="19"/>
      <c r="C49" s="516" t="s">
        <v>1230</v>
      </c>
      <c r="D49" s="65"/>
      <c r="E49" s="1525"/>
      <c r="F49" s="1525"/>
      <c r="G49" s="1525"/>
      <c r="H49" s="1525"/>
      <c r="I49" s="1731"/>
      <c r="J49" s="1732"/>
      <c r="L49" s="1404">
        <f>(0.7*0.7*0.5*2.045)*2.3</f>
        <v>1.1523574999999997</v>
      </c>
      <c r="AE49" s="1251"/>
    </row>
    <row r="50" spans="2:31" x14ac:dyDescent="0.3">
      <c r="S50">
        <f>SQRT(85*85+84*84)</f>
        <v>119.50313803411188</v>
      </c>
    </row>
    <row r="55" spans="2:31" ht="15" thickBot="1" x14ac:dyDescent="0.35">
      <c r="K55" s="83"/>
      <c r="P55" s="59"/>
    </row>
    <row r="56" spans="2:31" s="83" customFormat="1" ht="43.2" x14ac:dyDescent="0.3">
      <c r="K56" s="43"/>
      <c r="L56" s="1404"/>
      <c r="M56" s="1404"/>
      <c r="N56" s="1404"/>
      <c r="Q56" s="1215" t="s">
        <v>438</v>
      </c>
      <c r="R56" s="1214" t="s">
        <v>1149</v>
      </c>
      <c r="S56" s="1214" t="s">
        <v>1150</v>
      </c>
      <c r="T56" s="1214" t="s">
        <v>1151</v>
      </c>
      <c r="U56" s="1214" t="s">
        <v>1152</v>
      </c>
      <c r="V56" s="1214"/>
      <c r="W56" s="1214" t="s">
        <v>854</v>
      </c>
      <c r="X56" s="1216" t="s">
        <v>855</v>
      </c>
      <c r="Y56" s="43"/>
      <c r="Z56"/>
      <c r="AA56"/>
      <c r="AB56"/>
      <c r="AC56"/>
      <c r="AD56"/>
      <c r="AE56"/>
    </row>
    <row r="57" spans="2:31" x14ac:dyDescent="0.3">
      <c r="Q57" s="1217" t="s">
        <v>856</v>
      </c>
      <c r="R57" s="1218" t="s">
        <v>1153</v>
      </c>
      <c r="S57" s="1218">
        <v>200</v>
      </c>
      <c r="T57" s="1218">
        <f>U57*2-S57</f>
        <v>170</v>
      </c>
      <c r="U57" s="1218">
        <v>185</v>
      </c>
      <c r="V57" s="1218"/>
      <c r="W57" s="1218">
        <v>230</v>
      </c>
      <c r="X57" s="1219">
        <f t="shared" ref="X57:X62" si="0">U57*U57*3.1415926*7.5*W57/4000000</f>
        <v>46.368434154468751</v>
      </c>
      <c r="Y57" s="43"/>
    </row>
    <row r="58" spans="2:31" x14ac:dyDescent="0.3">
      <c r="L58" s="1406"/>
      <c r="M58" s="1406"/>
      <c r="N58" s="1406"/>
      <c r="Q58" s="1217" t="s">
        <v>857</v>
      </c>
      <c r="R58" s="1218" t="s">
        <v>1154</v>
      </c>
      <c r="S58" s="1218">
        <v>250</v>
      </c>
      <c r="T58" s="1218">
        <f>U58*2-S58</f>
        <v>210</v>
      </c>
      <c r="U58" s="1218">
        <v>230</v>
      </c>
      <c r="V58" s="1218"/>
      <c r="W58" s="1218">
        <v>300</v>
      </c>
      <c r="X58" s="1219">
        <f t="shared" si="0"/>
        <v>93.482014803749991</v>
      </c>
      <c r="Y58" s="43" t="s">
        <v>858</v>
      </c>
    </row>
    <row r="59" spans="2:31" x14ac:dyDescent="0.3">
      <c r="Q59" s="1217" t="s">
        <v>859</v>
      </c>
      <c r="R59" s="1218" t="s">
        <v>1155</v>
      </c>
      <c r="S59" s="1220">
        <v>350</v>
      </c>
      <c r="T59" s="1218">
        <f>U59*2-S59</f>
        <v>300</v>
      </c>
      <c r="U59" s="1218">
        <v>325</v>
      </c>
      <c r="V59" s="1218"/>
      <c r="W59" s="1218">
        <v>350</v>
      </c>
      <c r="X59" s="1219">
        <f t="shared" si="0"/>
        <v>217.76390893359374</v>
      </c>
      <c r="Y59" s="43"/>
    </row>
    <row r="60" spans="2:31" x14ac:dyDescent="0.3">
      <c r="Q60" s="1217" t="s">
        <v>860</v>
      </c>
      <c r="R60" s="1218" t="s">
        <v>1156</v>
      </c>
      <c r="S60" s="1218">
        <v>430</v>
      </c>
      <c r="T60" s="1218">
        <f>U60*2-S60</f>
        <v>335</v>
      </c>
      <c r="U60" s="1221">
        <v>382.5</v>
      </c>
      <c r="V60" s="1221"/>
      <c r="W60" s="1218">
        <v>380</v>
      </c>
      <c r="X60" s="1219">
        <f t="shared" si="0"/>
        <v>327.48967553779693</v>
      </c>
      <c r="Y60" s="43" t="s">
        <v>861</v>
      </c>
    </row>
    <row r="61" spans="2:31" x14ac:dyDescent="0.3">
      <c r="Q61" s="1217" t="s">
        <v>862</v>
      </c>
      <c r="R61" s="1218" t="s">
        <v>1157</v>
      </c>
      <c r="S61" s="1218">
        <v>620</v>
      </c>
      <c r="T61" s="1218">
        <f>U61*2-S61</f>
        <v>360</v>
      </c>
      <c r="U61" s="1218">
        <v>490</v>
      </c>
      <c r="V61" s="1218"/>
      <c r="W61" s="1218">
        <v>525</v>
      </c>
      <c r="X61" s="1219">
        <f t="shared" si="0"/>
        <v>742.51050227156247</v>
      </c>
      <c r="Y61" s="43"/>
    </row>
    <row r="62" spans="2:31" ht="15" thickBot="1" x14ac:dyDescent="0.35">
      <c r="Q62" s="1222" t="s">
        <v>863</v>
      </c>
      <c r="R62" s="1223" t="s">
        <v>1158</v>
      </c>
      <c r="S62" s="1223">
        <v>805</v>
      </c>
      <c r="T62" s="1223">
        <v>624</v>
      </c>
      <c r="U62" s="1223">
        <f>S62/2+T62/2</f>
        <v>714.5</v>
      </c>
      <c r="V62" s="1223"/>
      <c r="W62" s="1223">
        <v>305</v>
      </c>
      <c r="X62" s="1224">
        <f t="shared" si="0"/>
        <v>917.18183101006082</v>
      </c>
      <c r="Y62" s="43"/>
    </row>
    <row r="63" spans="2:31" x14ac:dyDescent="0.3">
      <c r="Q63" s="812" t="s">
        <v>962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E48:E49"/>
    <mergeCell ref="F48:F49"/>
    <mergeCell ref="G48:G49"/>
    <mergeCell ref="H48:H49"/>
    <mergeCell ref="I48:J49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AE44:AM44"/>
    <mergeCell ref="AO40:AP40"/>
    <mergeCell ref="AO41:AP41"/>
    <mergeCell ref="AO42:AP42"/>
    <mergeCell ref="AA42:AB42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A2:AC2"/>
    <mergeCell ref="AO38:AQ38"/>
    <mergeCell ref="AF4:AJ4"/>
    <mergeCell ref="AE30:AM30"/>
    <mergeCell ref="AA38:AC38"/>
    <mergeCell ref="U33:W33"/>
    <mergeCell ref="BC38:BE38"/>
    <mergeCell ref="AX33:AZ33"/>
    <mergeCell ref="AA39:AB39"/>
    <mergeCell ref="AA40:AB40"/>
    <mergeCell ref="AS40:AU40"/>
    <mergeCell ref="BC41:BD41"/>
    <mergeCell ref="BC42:BD42"/>
    <mergeCell ref="V40:W40"/>
    <mergeCell ref="BC39:BD39"/>
    <mergeCell ref="BC40:BD40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J240" zoomScale="70" zoomScaleNormal="70" workbookViewId="0">
      <selection activeCell="R266" sqref="R266"/>
    </sheetView>
  </sheetViews>
  <sheetFormatPr defaultColWidth="8.5546875" defaultRowHeight="13.8" x14ac:dyDescent="0.25"/>
  <cols>
    <col min="1" max="1" width="16.33203125" style="56" customWidth="1"/>
    <col min="2" max="2" width="18.109375" style="246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20" customWidth="1"/>
    <col min="31" max="31" width="8.5546875" style="220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33" t="s">
        <v>95</v>
      </c>
      <c r="B1" s="1733"/>
      <c r="C1" s="215"/>
      <c r="D1" s="215" t="s">
        <v>96</v>
      </c>
      <c r="E1" s="215"/>
      <c r="F1" s="215" t="s">
        <v>97</v>
      </c>
      <c r="G1" s="215" t="s">
        <v>98</v>
      </c>
      <c r="H1" s="216" t="s">
        <v>99</v>
      </c>
      <c r="L1" s="217" t="s">
        <v>100</v>
      </c>
      <c r="M1" s="218"/>
      <c r="N1" s="218"/>
      <c r="O1" s="218"/>
      <c r="P1" s="218"/>
      <c r="Q1" s="218"/>
      <c r="R1" s="218"/>
      <c r="S1" s="218"/>
      <c r="T1" s="218"/>
      <c r="U1" s="218"/>
      <c r="V1" s="219"/>
      <c r="AB1" s="220"/>
      <c r="AC1" s="220" t="s">
        <v>333</v>
      </c>
    </row>
    <row r="2" spans="1:60" ht="37.5" customHeight="1" thickBot="1" x14ac:dyDescent="0.35">
      <c r="A2" s="221"/>
      <c r="B2" s="222" t="s">
        <v>101</v>
      </c>
      <c r="C2" s="222" t="s">
        <v>102</v>
      </c>
      <c r="D2" s="222" t="s">
        <v>103</v>
      </c>
      <c r="E2" s="222" t="s">
        <v>104</v>
      </c>
      <c r="F2" s="222"/>
      <c r="G2" s="222" t="s">
        <v>105</v>
      </c>
      <c r="H2" s="222"/>
      <c r="I2" s="223"/>
      <c r="J2" s="224"/>
      <c r="L2" s="72" t="s">
        <v>106</v>
      </c>
      <c r="M2" s="73" t="s">
        <v>107</v>
      </c>
      <c r="N2" s="73" t="s">
        <v>108</v>
      </c>
      <c r="O2" s="74" t="s">
        <v>109</v>
      </c>
      <c r="P2" s="74" t="s">
        <v>110</v>
      </c>
      <c r="Q2" s="73" t="s">
        <v>111</v>
      </c>
      <c r="R2" s="73" t="s">
        <v>112</v>
      </c>
      <c r="S2" s="74" t="s">
        <v>113</v>
      </c>
      <c r="T2" s="73" t="s">
        <v>114</v>
      </c>
      <c r="U2" s="73" t="s">
        <v>115</v>
      </c>
      <c r="V2" s="75" t="s">
        <v>116</v>
      </c>
      <c r="AB2" s="220"/>
      <c r="AC2" s="220">
        <f>'[2]Изложницы без бурта'!A2</f>
        <v>0</v>
      </c>
      <c r="AD2" s="220" t="str">
        <f>'[2]Изложницы без бурта'!B2</f>
        <v>Изложницы без бурта</v>
      </c>
      <c r="AE2" s="220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45" t="s">
        <v>464</v>
      </c>
      <c r="AS2" s="1746"/>
      <c r="AT2" s="1746"/>
      <c r="AU2" s="1746"/>
      <c r="AV2" s="1746"/>
      <c r="AW2" s="1746"/>
      <c r="AX2" s="1747"/>
      <c r="AZ2" s="1739" t="s">
        <v>1183</v>
      </c>
      <c r="BA2" s="1740"/>
      <c r="BB2" s="1740"/>
      <c r="BC2" s="1740"/>
      <c r="BD2" s="1740"/>
      <c r="BE2" s="1740"/>
      <c r="BF2" s="1740"/>
      <c r="BG2" s="1740"/>
      <c r="BH2" s="1741"/>
    </row>
    <row r="3" spans="1:60" ht="58.2" thickBot="1" x14ac:dyDescent="0.35">
      <c r="A3" s="225" t="s">
        <v>9</v>
      </c>
      <c r="B3" s="226" t="s">
        <v>117</v>
      </c>
      <c r="C3" s="226" t="s">
        <v>117</v>
      </c>
      <c r="D3" s="226" t="s">
        <v>117</v>
      </c>
      <c r="E3" s="226" t="s">
        <v>117</v>
      </c>
      <c r="F3" s="226" t="s">
        <v>118</v>
      </c>
      <c r="G3" s="226" t="s">
        <v>93</v>
      </c>
      <c r="H3" s="226" t="s">
        <v>119</v>
      </c>
      <c r="I3" s="227">
        <v>9.1</v>
      </c>
      <c r="L3" s="228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9">
        <f>[1]Планки!K3</f>
        <v>380</v>
      </c>
      <c r="P3" s="229">
        <f>[1]Планки!L3</f>
        <v>1720</v>
      </c>
      <c r="Q3" s="138">
        <f>[1]Планки!M3</f>
        <v>1740</v>
      </c>
      <c r="R3" s="138">
        <f>[1]Планки!N3</f>
        <v>1760</v>
      </c>
      <c r="S3" s="229">
        <f>[1]Планки!O3</f>
        <v>26</v>
      </c>
      <c r="T3" s="138">
        <f>[1]Планки!P3</f>
        <v>40</v>
      </c>
      <c r="U3" s="138">
        <f>[1]Планки!Q3</f>
        <v>65</v>
      </c>
      <c r="V3" s="230" t="str">
        <f>[1]Планки!R3</f>
        <v>новая модель для Арконик, изготовитель: МЦ Гарант</v>
      </c>
      <c r="AB3" s="220"/>
      <c r="AC3" s="220">
        <f>'[2]Изложницы без бурта'!A3</f>
        <v>0</v>
      </c>
      <c r="AD3" s="220" t="str">
        <f>'[2]Изложницы без бурта'!B3</f>
        <v>Dвн (внутренний)</v>
      </c>
      <c r="AE3" s="220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6" t="s">
        <v>439</v>
      </c>
      <c r="AP3" s="366" t="s">
        <v>438</v>
      </c>
      <c r="AR3" s="370" t="s">
        <v>188</v>
      </c>
      <c r="AS3" s="371" t="s">
        <v>465</v>
      </c>
      <c r="AT3" s="371" t="s">
        <v>466</v>
      </c>
      <c r="AU3" s="371" t="s">
        <v>467</v>
      </c>
      <c r="AV3" s="372" t="s">
        <v>468</v>
      </c>
      <c r="AW3" s="373" t="s">
        <v>469</v>
      </c>
      <c r="AX3" s="374" t="s">
        <v>470</v>
      </c>
      <c r="AZ3" s="1252" t="s">
        <v>1177</v>
      </c>
      <c r="BA3" s="1253" t="s">
        <v>1178</v>
      </c>
      <c r="BB3" s="1254" t="s">
        <v>1179</v>
      </c>
      <c r="BC3" s="1253" t="s">
        <v>1180</v>
      </c>
      <c r="BD3" s="1253" t="s">
        <v>1181</v>
      </c>
      <c r="BE3" s="1253" t="s">
        <v>1174</v>
      </c>
      <c r="BF3" s="1253" t="s">
        <v>1175</v>
      </c>
      <c r="BG3" s="1253" t="s">
        <v>438</v>
      </c>
      <c r="BH3" s="1255" t="s">
        <v>1176</v>
      </c>
    </row>
    <row r="4" spans="1:60" ht="15" x14ac:dyDescent="0.25">
      <c r="A4" s="225" t="s">
        <v>25</v>
      </c>
      <c r="B4" s="226" t="s">
        <v>120</v>
      </c>
      <c r="C4" s="226" t="s">
        <v>120</v>
      </c>
      <c r="D4" s="226" t="s">
        <v>120</v>
      </c>
      <c r="E4" s="226" t="s">
        <v>120</v>
      </c>
      <c r="F4" s="226" t="s">
        <v>118</v>
      </c>
      <c r="G4" s="226" t="s">
        <v>121</v>
      </c>
      <c r="H4" s="226" t="s">
        <v>119</v>
      </c>
      <c r="I4" s="227">
        <v>9.3000000000000007</v>
      </c>
      <c r="L4" s="228">
        <f>[1]Планки!H4</f>
        <v>5</v>
      </c>
      <c r="M4" s="138">
        <f>[1]Планки!I4</f>
        <v>730</v>
      </c>
      <c r="N4" s="138">
        <f>[1]Планки!J4</f>
        <v>270</v>
      </c>
      <c r="O4" s="229">
        <f>[1]Планки!K4</f>
        <v>460</v>
      </c>
      <c r="P4" s="229">
        <f>[1]Планки!L4</f>
        <v>100</v>
      </c>
      <c r="Q4" s="138">
        <f>[1]Планки!M4</f>
        <v>110</v>
      </c>
      <c r="R4" s="138">
        <f>[1]Планки!N4</f>
        <v>166</v>
      </c>
      <c r="S4" s="229">
        <f>[1]Планки!O4</f>
        <v>115</v>
      </c>
      <c r="T4" s="138">
        <f>[1]Планки!P4</f>
        <v>125</v>
      </c>
      <c r="U4" s="138">
        <f>[1]Планки!Q4</f>
        <v>180</v>
      </c>
      <c r="V4" s="230">
        <f>[1]Планки!R4</f>
        <v>0</v>
      </c>
      <c r="AB4" s="220"/>
      <c r="AC4" s="220">
        <f>'[2]Изложницы без бурта'!A4</f>
        <v>0</v>
      </c>
      <c r="AD4" s="220">
        <f>'[2]Изложницы без бурта'!B4</f>
        <v>55</v>
      </c>
      <c r="AE4" s="220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6">
        <v>140</v>
      </c>
      <c r="AP4" s="366" t="s">
        <v>440</v>
      </c>
      <c r="AR4" s="367">
        <v>132</v>
      </c>
      <c r="AS4" s="367">
        <v>85</v>
      </c>
      <c r="AT4" s="367">
        <v>200</v>
      </c>
      <c r="AU4" s="367">
        <v>155</v>
      </c>
      <c r="AV4" s="367">
        <v>185</v>
      </c>
      <c r="AW4" s="367">
        <v>320</v>
      </c>
      <c r="AX4" s="394" t="s">
        <v>476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5" t="s">
        <v>21</v>
      </c>
      <c r="B5" s="226" t="s">
        <v>120</v>
      </c>
      <c r="C5" s="226" t="s">
        <v>120</v>
      </c>
      <c r="D5" s="226" t="s">
        <v>120</v>
      </c>
      <c r="E5" s="226" t="s">
        <v>120</v>
      </c>
      <c r="F5" s="226" t="s">
        <v>122</v>
      </c>
      <c r="G5" s="226"/>
      <c r="H5" s="226" t="b">
        <f>G37</f>
        <v>0</v>
      </c>
      <c r="I5" s="227">
        <v>8.8800000000000008</v>
      </c>
      <c r="L5" s="228">
        <f>[1]Планки!H5</f>
        <v>3</v>
      </c>
      <c r="M5" s="138">
        <f>[1]Планки!I5</f>
        <v>750</v>
      </c>
      <c r="N5" s="138">
        <f>[1]Планки!J5</f>
        <v>280</v>
      </c>
      <c r="O5" s="229">
        <f>[1]Планки!K5</f>
        <v>470</v>
      </c>
      <c r="P5" s="229">
        <f>[1]Планки!L5</f>
        <v>130</v>
      </c>
      <c r="Q5" s="138">
        <f>[1]Планки!M5</f>
        <v>140</v>
      </c>
      <c r="R5" s="138">
        <f>[1]Планки!N5</f>
        <v>200</v>
      </c>
      <c r="S5" s="229">
        <f>[1]Планки!O5</f>
        <v>105</v>
      </c>
      <c r="T5" s="138">
        <f>[1]Планки!P5</f>
        <v>110</v>
      </c>
      <c r="U5" s="138">
        <f>[1]Планки!Q5</f>
        <v>175</v>
      </c>
      <c r="V5" s="230">
        <f>[1]Планки!R5</f>
        <v>0</v>
      </c>
      <c r="AB5" s="220"/>
      <c r="AC5" s="220">
        <f>'[2]Изложницы без бурта'!A5</f>
        <v>0</v>
      </c>
      <c r="AD5" s="220">
        <f>'[2]Изложницы без бурта'!B5</f>
        <v>55</v>
      </c>
      <c r="AE5" s="220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6">
        <v>185</v>
      </c>
      <c r="AP5" s="366" t="s">
        <v>441</v>
      </c>
      <c r="AR5" s="368">
        <v>110</v>
      </c>
      <c r="AS5" s="369">
        <v>92.5</v>
      </c>
      <c r="AT5" s="368">
        <v>200</v>
      </c>
      <c r="AU5" s="368">
        <v>155</v>
      </c>
      <c r="AV5" s="367">
        <v>185</v>
      </c>
      <c r="AW5" s="367">
        <v>320</v>
      </c>
      <c r="AX5" s="393" t="s">
        <v>482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5" t="s">
        <v>124</v>
      </c>
      <c r="B6" s="226" t="s">
        <v>125</v>
      </c>
      <c r="C6" s="226" t="s">
        <v>125</v>
      </c>
      <c r="D6" s="226" t="s">
        <v>125</v>
      </c>
      <c r="E6" s="226" t="s">
        <v>125</v>
      </c>
      <c r="F6" s="226" t="s">
        <v>126</v>
      </c>
      <c r="G6" s="226"/>
      <c r="H6" s="226" t="s">
        <v>123</v>
      </c>
      <c r="I6" s="227">
        <v>8.6999999999999993</v>
      </c>
      <c r="L6" s="228">
        <f>[1]Планки!H6</f>
        <v>61</v>
      </c>
      <c r="M6" s="138">
        <f>[1]Планки!I6</f>
        <v>590</v>
      </c>
      <c r="N6" s="138">
        <f>[1]Планки!J6</f>
        <v>100</v>
      </c>
      <c r="O6" s="229">
        <f>[1]Планки!K6</f>
        <v>490</v>
      </c>
      <c r="P6" s="229">
        <f>[1]Планки!L6</f>
        <v>270</v>
      </c>
      <c r="Q6" s="138">
        <f>[1]Планки!M6</f>
        <v>285</v>
      </c>
      <c r="R6" s="138">
        <f>[1]Планки!N6</f>
        <v>310</v>
      </c>
      <c r="S6" s="229">
        <f>[1]Планки!O6</f>
        <v>25</v>
      </c>
      <c r="T6" s="138">
        <f>[1]Планки!P6</f>
        <v>33</v>
      </c>
      <c r="U6" s="138">
        <f>[1]Планки!Q6</f>
        <v>75</v>
      </c>
      <c r="V6" s="230">
        <f>[1]Планки!R6</f>
        <v>0</v>
      </c>
      <c r="AB6" s="220"/>
      <c r="AC6" s="220">
        <f>'[2]Изложницы без бурта'!A6</f>
        <v>0</v>
      </c>
      <c r="AD6" s="220">
        <f>'[2]Изложницы без бурта'!B6</f>
        <v>55</v>
      </c>
      <c r="AE6" s="220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6">
        <v>285</v>
      </c>
      <c r="AP6" s="366" t="s">
        <v>442</v>
      </c>
      <c r="AR6" s="375">
        <v>115</v>
      </c>
      <c r="AS6" s="376">
        <v>100</v>
      </c>
      <c r="AT6" s="377">
        <v>200</v>
      </c>
      <c r="AU6" s="368">
        <v>155</v>
      </c>
      <c r="AV6" s="367">
        <v>185</v>
      </c>
      <c r="AW6" s="367">
        <v>320</v>
      </c>
      <c r="AX6" s="393" t="s">
        <v>483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1" t="s">
        <v>974</v>
      </c>
      <c r="B7" s="226" t="s">
        <v>125</v>
      </c>
      <c r="C7" s="226" t="s">
        <v>125</v>
      </c>
      <c r="D7" s="226" t="s">
        <v>125</v>
      </c>
      <c r="E7" s="226" t="s">
        <v>125</v>
      </c>
      <c r="F7" s="226" t="s">
        <v>118</v>
      </c>
      <c r="G7" s="226"/>
      <c r="H7" s="226" t="s">
        <v>119</v>
      </c>
      <c r="I7" s="227">
        <v>9.1999999999999993</v>
      </c>
      <c r="L7" s="228">
        <f>[1]Планки!H7</f>
        <v>23</v>
      </c>
      <c r="M7" s="138">
        <f>[1]Планки!I7</f>
        <v>590</v>
      </c>
      <c r="N7" s="138">
        <f>[1]Планки!J7</f>
        <v>100</v>
      </c>
      <c r="O7" s="229">
        <f>[1]Планки!K7</f>
        <v>490</v>
      </c>
      <c r="P7" s="229">
        <f>[1]Планки!L7</f>
        <v>420</v>
      </c>
      <c r="Q7" s="138">
        <f>[1]Планки!M7</f>
        <v>432</v>
      </c>
      <c r="R7" s="138">
        <f>[1]Планки!N7</f>
        <v>455</v>
      </c>
      <c r="S7" s="229">
        <f>[1]Планки!O7</f>
        <v>90</v>
      </c>
      <c r="T7" s="138">
        <f>[1]Планки!P7</f>
        <v>100</v>
      </c>
      <c r="U7" s="138">
        <f>[1]Планки!Q7</f>
        <v>140</v>
      </c>
      <c r="V7" s="230" t="str">
        <f>[1]Планки!R7</f>
        <v>модель нашита  (L4=25 L5=35 L6=75)</v>
      </c>
      <c r="AB7" s="220"/>
      <c r="AC7" s="220">
        <f>'[2]Изложницы без бурта'!A7</f>
        <v>0</v>
      </c>
      <c r="AD7" s="220">
        <f>'[2]Изложницы без бурта'!B7</f>
        <v>55</v>
      </c>
      <c r="AE7" s="220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6">
        <v>312</v>
      </c>
      <c r="AP7" s="366" t="s">
        <v>443</v>
      </c>
      <c r="AR7" s="378">
        <v>115</v>
      </c>
      <c r="AS7" s="376">
        <v>105</v>
      </c>
      <c r="AT7" s="377">
        <v>200</v>
      </c>
      <c r="AU7" s="368">
        <v>155</v>
      </c>
      <c r="AV7" s="367">
        <v>185</v>
      </c>
      <c r="AW7" s="367">
        <v>320</v>
      </c>
      <c r="AX7" s="393" t="s">
        <v>483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1" t="s">
        <v>18</v>
      </c>
      <c r="B8" s="226" t="s">
        <v>125</v>
      </c>
      <c r="C8" s="226" t="s">
        <v>125</v>
      </c>
      <c r="D8" s="226" t="s">
        <v>125</v>
      </c>
      <c r="E8" s="226" t="s">
        <v>125</v>
      </c>
      <c r="F8" s="226" t="s">
        <v>865</v>
      </c>
      <c r="G8" s="226"/>
      <c r="H8" s="226" t="s">
        <v>123</v>
      </c>
      <c r="I8" s="227">
        <v>9.1999999999999993</v>
      </c>
      <c r="L8" s="228">
        <f>[1]Планки!H8</f>
        <v>25</v>
      </c>
      <c r="M8" s="138">
        <f>[1]Планки!I8</f>
        <v>670</v>
      </c>
      <c r="N8" s="138">
        <f>[1]Планки!J8</f>
        <v>150</v>
      </c>
      <c r="O8" s="229">
        <f>[1]Планки!K8</f>
        <v>520</v>
      </c>
      <c r="P8" s="229">
        <f>[1]Планки!L8</f>
        <v>150</v>
      </c>
      <c r="Q8" s="138">
        <f>[1]Планки!M8</f>
        <v>157</v>
      </c>
      <c r="R8" s="138">
        <f>[1]Планки!N8</f>
        <v>190</v>
      </c>
      <c r="S8" s="229">
        <f>[1]Планки!O8</f>
        <v>65</v>
      </c>
      <c r="T8" s="138">
        <f>[1]Планки!P8</f>
        <v>77</v>
      </c>
      <c r="U8" s="138">
        <f>[1]Планки!Q8</f>
        <v>135</v>
      </c>
      <c r="V8" s="230">
        <f>[1]Планки!R8</f>
        <v>0</v>
      </c>
      <c r="AB8" s="220"/>
      <c r="AC8" s="220">
        <f>'[2]Изложницы без бурта'!A8</f>
        <v>0</v>
      </c>
      <c r="AD8" s="220">
        <f>'[2]Изложницы без бурта'!B8</f>
        <v>57.5</v>
      </c>
      <c r="AE8" s="220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6">
        <v>375</v>
      </c>
      <c r="AP8" s="366" t="s">
        <v>444</v>
      </c>
      <c r="AR8" s="376">
        <v>135</v>
      </c>
      <c r="AS8" s="376">
        <v>115</v>
      </c>
      <c r="AT8" s="377">
        <v>203</v>
      </c>
      <c r="AU8" s="368">
        <v>160</v>
      </c>
      <c r="AV8" s="367">
        <v>185</v>
      </c>
      <c r="AW8" s="367">
        <v>320</v>
      </c>
      <c r="AX8" s="393" t="s">
        <v>484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1" t="s">
        <v>13</v>
      </c>
      <c r="B9" s="226" t="s">
        <v>125</v>
      </c>
      <c r="C9" s="226" t="s">
        <v>125</v>
      </c>
      <c r="D9" s="226" t="s">
        <v>125</v>
      </c>
      <c r="E9" s="226" t="s">
        <v>125</v>
      </c>
      <c r="F9" s="226" t="s">
        <v>118</v>
      </c>
      <c r="G9" s="226"/>
      <c r="H9" s="226" t="s">
        <v>119</v>
      </c>
      <c r="I9" s="227">
        <v>9.1</v>
      </c>
      <c r="L9" s="228">
        <f>[1]Планки!H9</f>
        <v>64</v>
      </c>
      <c r="M9" s="138">
        <f>[1]Планки!I9</f>
        <v>600</v>
      </c>
      <c r="N9" s="138">
        <f>[1]Планки!J9</f>
        <v>75</v>
      </c>
      <c r="O9" s="229">
        <f>[1]Планки!K9</f>
        <v>525</v>
      </c>
      <c r="P9" s="229">
        <f>[1]Планки!L9</f>
        <v>200</v>
      </c>
      <c r="Q9" s="138">
        <f>[1]Планки!M9</f>
        <v>215</v>
      </c>
      <c r="R9" s="138">
        <f>[1]Планки!N9</f>
        <v>235</v>
      </c>
      <c r="S9" s="229">
        <f>[1]Планки!O9</f>
        <v>20</v>
      </c>
      <c r="T9" s="138">
        <f>[1]Планки!P9</f>
        <v>26</v>
      </c>
      <c r="U9" s="138">
        <f>[1]Планки!Q9</f>
        <v>60</v>
      </c>
      <c r="V9" s="230">
        <f>[1]Планки!R9</f>
        <v>0</v>
      </c>
      <c r="AB9" s="220"/>
      <c r="AC9" s="220">
        <f>'[2]Изложницы без бурта'!A9</f>
        <v>0</v>
      </c>
      <c r="AD9" s="220">
        <f>'[2]Изложницы без бурта'!B9</f>
        <v>57.5</v>
      </c>
      <c r="AE9" s="220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6">
        <v>339</v>
      </c>
      <c r="AP9" s="366" t="s">
        <v>458</v>
      </c>
      <c r="AR9" s="379">
        <v>160</v>
      </c>
      <c r="AS9" s="376">
        <v>117.5</v>
      </c>
      <c r="AT9" s="377">
        <v>200</v>
      </c>
      <c r="AU9" s="368">
        <v>150</v>
      </c>
      <c r="AV9" s="368">
        <v>285</v>
      </c>
      <c r="AW9" s="367">
        <v>320</v>
      </c>
      <c r="AX9" s="393" t="s">
        <v>531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5" t="s">
        <v>15</v>
      </c>
      <c r="B10" s="226" t="s">
        <v>120</v>
      </c>
      <c r="C10" s="226" t="s">
        <v>120</v>
      </c>
      <c r="D10" s="226" t="s">
        <v>120</v>
      </c>
      <c r="E10" s="226" t="s">
        <v>120</v>
      </c>
      <c r="F10" s="226" t="s">
        <v>127</v>
      </c>
      <c r="G10" s="226"/>
      <c r="H10" s="226" t="b">
        <f>G37</f>
        <v>0</v>
      </c>
      <c r="I10" s="227">
        <v>8.8800000000000008</v>
      </c>
      <c r="L10" s="228">
        <f>[1]Планки!H10</f>
        <v>84</v>
      </c>
      <c r="M10" s="138">
        <f>[1]Планки!I10</f>
        <v>680</v>
      </c>
      <c r="N10" s="138">
        <f>[1]Планки!J10</f>
        <v>135</v>
      </c>
      <c r="O10" s="229">
        <f>[1]Планки!K10</f>
        <v>545</v>
      </c>
      <c r="P10" s="229">
        <f>[1]Планки!L10</f>
        <v>200</v>
      </c>
      <c r="Q10" s="138">
        <f>[1]Планки!M10</f>
        <v>212</v>
      </c>
      <c r="R10" s="138">
        <f>[1]Планки!N10</f>
        <v>250</v>
      </c>
      <c r="S10" s="229">
        <f>[1]Планки!O10</f>
        <v>78</v>
      </c>
      <c r="T10" s="138">
        <f>[1]Планки!P10</f>
        <v>80</v>
      </c>
      <c r="U10" s="138">
        <f>[1]Планки!Q10</f>
        <v>135</v>
      </c>
      <c r="V10" s="230" t="str">
        <f>[1]Планки!R10</f>
        <v>модель нашита  (L4=30 L5=35 L6=90)</v>
      </c>
      <c r="AB10" s="220"/>
      <c r="AC10" s="220">
        <f>'[2]Изложницы без бурта'!A10</f>
        <v>0</v>
      </c>
      <c r="AD10" s="220">
        <f>'[2]Изложницы без бурта'!B10</f>
        <v>60</v>
      </c>
      <c r="AE10" s="220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6">
        <v>360</v>
      </c>
      <c r="AP10" s="366" t="s">
        <v>445</v>
      </c>
      <c r="AR10" s="368">
        <v>140</v>
      </c>
      <c r="AS10" s="380">
        <v>120</v>
      </c>
      <c r="AT10" s="368">
        <v>200</v>
      </c>
      <c r="AU10" s="368">
        <v>155</v>
      </c>
      <c r="AV10" s="367">
        <v>185</v>
      </c>
      <c r="AW10" s="367">
        <v>320</v>
      </c>
      <c r="AX10" s="393" t="s">
        <v>485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6" t="s">
        <v>663</v>
      </c>
      <c r="B11" s="226" t="s">
        <v>120</v>
      </c>
      <c r="C11" s="226" t="s">
        <v>120</v>
      </c>
      <c r="D11" s="226" t="s">
        <v>120</v>
      </c>
      <c r="E11" s="226" t="s">
        <v>120</v>
      </c>
      <c r="F11" s="226" t="s">
        <v>127</v>
      </c>
      <c r="G11" s="226"/>
      <c r="H11" s="226" t="b">
        <f>G37</f>
        <v>0</v>
      </c>
      <c r="I11" s="227">
        <v>8.8800000000000008</v>
      </c>
      <c r="L11" s="228">
        <f>[1]Планки!H11</f>
        <v>141</v>
      </c>
      <c r="M11" s="138">
        <f>[1]Планки!I11</f>
        <v>710</v>
      </c>
      <c r="N11" s="138">
        <f>[1]Планки!J11</f>
        <v>150</v>
      </c>
      <c r="O11" s="229">
        <f>[1]Планки!K11</f>
        <v>560</v>
      </c>
      <c r="P11" s="229">
        <f>[1]Планки!L11</f>
        <v>1880</v>
      </c>
      <c r="Q11" s="138">
        <f>[1]Планки!M11</f>
        <v>1900</v>
      </c>
      <c r="R11" s="138">
        <f>[1]Планки!N11</f>
        <v>1920</v>
      </c>
      <c r="S11" s="229">
        <f>[1]Планки!O11</f>
        <v>43</v>
      </c>
      <c r="T11" s="138">
        <f>[1]Планки!P11</f>
        <v>60</v>
      </c>
      <c r="U11" s="138">
        <f>[1]Планки!Q11</f>
        <v>90</v>
      </c>
      <c r="V11" s="230" t="str">
        <f>[1]Планки!R11</f>
        <v>не нашивать - Костерин 11.09.2020</v>
      </c>
      <c r="AB11" s="220"/>
      <c r="AC11" s="220">
        <f>'[2]Изложницы без бурта'!A11</f>
        <v>0</v>
      </c>
      <c r="AD11" s="220">
        <f>'[2]Изложницы без бурта'!B11</f>
        <v>60</v>
      </c>
      <c r="AE11" s="220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6">
        <v>400</v>
      </c>
      <c r="AP11" s="366" t="s">
        <v>446</v>
      </c>
      <c r="AR11" s="375">
        <v>183</v>
      </c>
      <c r="AS11" s="376">
        <v>130</v>
      </c>
      <c r="AT11" s="377">
        <v>200</v>
      </c>
      <c r="AU11" s="368">
        <v>150</v>
      </c>
      <c r="AV11" s="368">
        <v>285</v>
      </c>
      <c r="AW11" s="367">
        <v>320</v>
      </c>
      <c r="AX11" s="393" t="s">
        <v>477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5" t="s">
        <v>33</v>
      </c>
      <c r="B12" s="226" t="s">
        <v>130</v>
      </c>
      <c r="C12" s="226" t="s">
        <v>130</v>
      </c>
      <c r="D12" s="226" t="s">
        <v>130</v>
      </c>
      <c r="E12" s="226" t="s">
        <v>130</v>
      </c>
      <c r="F12" s="226" t="s">
        <v>132</v>
      </c>
      <c r="G12" s="226"/>
      <c r="H12" s="226" t="s">
        <v>133</v>
      </c>
      <c r="I12" s="227">
        <v>8.1</v>
      </c>
      <c r="L12" s="228">
        <f>[1]Планки!H12</f>
        <v>97</v>
      </c>
      <c r="M12" s="138">
        <f>[1]Планки!I12</f>
        <v>680</v>
      </c>
      <c r="N12" s="138">
        <f>[1]Планки!J12</f>
        <v>110</v>
      </c>
      <c r="O12" s="229">
        <f>[1]Планки!K12</f>
        <v>570</v>
      </c>
      <c r="P12" s="229">
        <f>[1]Планки!L12</f>
        <v>295</v>
      </c>
      <c r="Q12" s="138">
        <f>[1]Планки!M12</f>
        <v>305</v>
      </c>
      <c r="R12" s="138">
        <f>[1]Планки!N12</f>
        <v>355</v>
      </c>
      <c r="S12" s="229">
        <f>[1]Планки!O12</f>
        <v>27</v>
      </c>
      <c r="T12" s="138">
        <f>[1]Планки!P12</f>
        <v>38</v>
      </c>
      <c r="U12" s="138">
        <f>[1]Планки!Q12</f>
        <v>60</v>
      </c>
      <c r="V12" s="230">
        <f>[1]Планки!R12</f>
        <v>0</v>
      </c>
      <c r="AB12" s="220"/>
      <c r="AC12" s="220">
        <f>'[2]Изложницы без бурта'!A12</f>
        <v>0</v>
      </c>
      <c r="AD12" s="220">
        <f>'[2]Изложницы без бурта'!B12</f>
        <v>60</v>
      </c>
      <c r="AE12" s="220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6">
        <v>420</v>
      </c>
      <c r="AP12" s="366" t="s">
        <v>447</v>
      </c>
      <c r="AR12" s="368">
        <v>150</v>
      </c>
      <c r="AS12" s="367">
        <v>135</v>
      </c>
      <c r="AT12" s="368">
        <v>193</v>
      </c>
      <c r="AU12" s="368">
        <v>150</v>
      </c>
      <c r="AV12" s="367">
        <v>185</v>
      </c>
      <c r="AW12" s="367">
        <v>320</v>
      </c>
      <c r="AX12" s="393" t="s">
        <v>486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5" t="s">
        <v>31</v>
      </c>
      <c r="B13" s="226" t="s">
        <v>130</v>
      </c>
      <c r="C13" s="226" t="s">
        <v>130</v>
      </c>
      <c r="D13" s="226" t="s">
        <v>130</v>
      </c>
      <c r="E13" s="226" t="s">
        <v>130</v>
      </c>
      <c r="F13" s="226" t="s">
        <v>132</v>
      </c>
      <c r="G13" s="226"/>
      <c r="H13" s="226" t="s">
        <v>133</v>
      </c>
      <c r="I13" s="227">
        <v>7.8</v>
      </c>
      <c r="L13" s="228">
        <f>[1]Планки!H13</f>
        <v>53</v>
      </c>
      <c r="M13" s="138">
        <f>[1]Планки!I13</f>
        <v>690</v>
      </c>
      <c r="N13" s="138">
        <f>[1]Планки!J13</f>
        <v>110</v>
      </c>
      <c r="O13" s="229">
        <f>[1]Планки!K13</f>
        <v>580</v>
      </c>
      <c r="P13" s="229">
        <f>[1]Планки!L13</f>
        <v>235</v>
      </c>
      <c r="Q13" s="138">
        <f>[1]Планки!M13</f>
        <v>247</v>
      </c>
      <c r="R13" s="138">
        <f>[1]Планки!N13</f>
        <v>265</v>
      </c>
      <c r="S13" s="229">
        <f>[1]Планки!O13</f>
        <v>64</v>
      </c>
      <c r="T13" s="138">
        <f>[1]Планки!P13</f>
        <v>74</v>
      </c>
      <c r="U13" s="138">
        <f>[1]Планки!Q13</f>
        <v>120</v>
      </c>
      <c r="V13" s="230" t="str">
        <f>[1]Планки!R13</f>
        <v>модель нашита  (L1=218 L2=229 L3=247 L4=27 L5=40 L6=80)</v>
      </c>
      <c r="AB13" s="220"/>
      <c r="AC13" s="220">
        <f>'[2]Изложницы без бурта'!A13</f>
        <v>0</v>
      </c>
      <c r="AD13" s="220">
        <f>'[2]Изложницы без бурта'!B13</f>
        <v>60</v>
      </c>
      <c r="AE13" s="220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6">
        <v>450</v>
      </c>
      <c r="AP13" s="366" t="s">
        <v>448</v>
      </c>
      <c r="AR13" s="369">
        <v>180</v>
      </c>
      <c r="AS13" s="368">
        <v>135</v>
      </c>
      <c r="AT13" s="368">
        <v>200</v>
      </c>
      <c r="AU13" s="368">
        <v>150</v>
      </c>
      <c r="AV13" s="368">
        <v>285</v>
      </c>
      <c r="AW13" s="367">
        <v>320</v>
      </c>
      <c r="AX13" s="393" t="s">
        <v>477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1" t="s">
        <v>39</v>
      </c>
      <c r="B14" s="226" t="s">
        <v>130</v>
      </c>
      <c r="C14" s="226" t="s">
        <v>130</v>
      </c>
      <c r="D14" s="226" t="s">
        <v>130</v>
      </c>
      <c r="E14" s="226" t="s">
        <v>130</v>
      </c>
      <c r="F14" s="226" t="s">
        <v>132</v>
      </c>
      <c r="G14" s="226"/>
      <c r="H14" s="226" t="s">
        <v>133</v>
      </c>
      <c r="I14" s="227">
        <v>7.8</v>
      </c>
      <c r="L14" s="228">
        <f>[1]Планки!H14</f>
        <v>113</v>
      </c>
      <c r="M14" s="138">
        <f>[1]Планки!I14</f>
        <v>735</v>
      </c>
      <c r="N14" s="138">
        <f>[1]Планки!J14</f>
        <v>150</v>
      </c>
      <c r="O14" s="229">
        <f>[1]Планки!K14</f>
        <v>585</v>
      </c>
      <c r="P14" s="229">
        <f>[1]Планки!L14</f>
        <v>115</v>
      </c>
      <c r="Q14" s="138">
        <f>[1]Планки!M14</f>
        <v>120</v>
      </c>
      <c r="R14" s="138">
        <f>[1]Планки!N14</f>
        <v>160</v>
      </c>
      <c r="S14" s="229">
        <f>[1]Планки!O14</f>
        <v>70</v>
      </c>
      <c r="T14" s="138">
        <f>[1]Планки!P14</f>
        <v>75</v>
      </c>
      <c r="U14" s="138">
        <f>[1]Планки!Q14</f>
        <v>140</v>
      </c>
      <c r="V14" s="230" t="str">
        <f>[1]Планки!R14</f>
        <v>модель нашита  (L4=44 L5=50 L6=100)</v>
      </c>
      <c r="AB14" s="220"/>
      <c r="AC14" s="220">
        <f>'[2]Изложницы без бурта'!A14</f>
        <v>0</v>
      </c>
      <c r="AD14" s="220">
        <f>'[2]Изложницы без бурта'!B14</f>
        <v>60</v>
      </c>
      <c r="AE14" s="220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6">
        <v>470</v>
      </c>
      <c r="AP14" s="366" t="s">
        <v>449</v>
      </c>
      <c r="AR14" s="376">
        <v>220</v>
      </c>
      <c r="AS14" s="381">
        <v>135</v>
      </c>
      <c r="AT14" s="368">
        <v>320</v>
      </c>
      <c r="AU14" s="368">
        <v>260</v>
      </c>
      <c r="AV14" s="368">
        <v>285</v>
      </c>
      <c r="AW14" s="367">
        <v>320</v>
      </c>
      <c r="AX14" s="393" t="s">
        <v>532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1" t="s">
        <v>35</v>
      </c>
      <c r="B15" s="226" t="s">
        <v>130</v>
      </c>
      <c r="C15" s="226" t="s">
        <v>130</v>
      </c>
      <c r="D15" s="226" t="s">
        <v>130</v>
      </c>
      <c r="E15" s="226" t="s">
        <v>130</v>
      </c>
      <c r="F15" s="226" t="s">
        <v>132</v>
      </c>
      <c r="G15" s="226"/>
      <c r="H15" s="226" t="s">
        <v>133</v>
      </c>
      <c r="I15" s="227">
        <v>7.6</v>
      </c>
      <c r="L15" s="228">
        <f>[1]Планки!H15</f>
        <v>96</v>
      </c>
      <c r="M15" s="138">
        <f>[1]Планки!I15</f>
        <v>735</v>
      </c>
      <c r="N15" s="138">
        <f>[1]Планки!J15</f>
        <v>150</v>
      </c>
      <c r="O15" s="229">
        <f>[1]Планки!K15</f>
        <v>585</v>
      </c>
      <c r="P15" s="229">
        <f>[1]Планки!L15</f>
        <v>185</v>
      </c>
      <c r="Q15" s="138">
        <f>[1]Планки!M15</f>
        <v>195</v>
      </c>
      <c r="R15" s="138">
        <f>[1]Планки!N15</f>
        <v>235</v>
      </c>
      <c r="S15" s="229">
        <f>[1]Планки!O15</f>
        <v>37</v>
      </c>
      <c r="T15" s="138">
        <f>[1]Планки!P15</f>
        <v>45</v>
      </c>
      <c r="U15" s="138">
        <f>[1]Планки!Q15</f>
        <v>115</v>
      </c>
      <c r="V15" s="230">
        <f>[1]Планки!R15</f>
        <v>0</v>
      </c>
      <c r="AB15" s="220"/>
      <c r="AC15" s="220">
        <f>'[2]Изложницы без бурта'!A15</f>
        <v>0</v>
      </c>
      <c r="AD15" s="220">
        <f>'[2]Изложницы без бурта'!B15</f>
        <v>60</v>
      </c>
      <c r="AE15" s="220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6">
        <v>500</v>
      </c>
      <c r="AP15" s="366" t="s">
        <v>450</v>
      </c>
      <c r="AR15" s="379">
        <v>226</v>
      </c>
      <c r="AS15" s="376">
        <v>140</v>
      </c>
      <c r="AT15" s="377">
        <v>265</v>
      </c>
      <c r="AU15" s="368">
        <v>203</v>
      </c>
      <c r="AV15" s="368">
        <v>285</v>
      </c>
      <c r="AW15" s="367">
        <v>320</v>
      </c>
      <c r="AX15" s="393" t="s">
        <v>487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5" t="s">
        <v>134</v>
      </c>
      <c r="B16" s="226" t="s">
        <v>135</v>
      </c>
      <c r="C16" s="226" t="s">
        <v>135</v>
      </c>
      <c r="D16" s="226" t="s">
        <v>135</v>
      </c>
      <c r="E16" s="226" t="s">
        <v>135</v>
      </c>
      <c r="F16" s="226" t="s">
        <v>136</v>
      </c>
      <c r="G16" s="226"/>
      <c r="H16" s="226" t="s">
        <v>123</v>
      </c>
      <c r="I16" s="227">
        <v>8.5</v>
      </c>
      <c r="L16" s="228">
        <f>[1]Планки!H16</f>
        <v>50</v>
      </c>
      <c r="M16" s="138">
        <f>[1]Планки!I16</f>
        <v>690</v>
      </c>
      <c r="N16" s="138">
        <f>[1]Планки!J16</f>
        <v>100</v>
      </c>
      <c r="O16" s="229">
        <f>[1]Планки!K16</f>
        <v>590</v>
      </c>
      <c r="P16" s="229">
        <f>[1]Планки!L16</f>
        <v>227</v>
      </c>
      <c r="Q16" s="138">
        <f>[1]Планки!M16</f>
        <v>240</v>
      </c>
      <c r="R16" s="138">
        <f>[1]Планки!N16</f>
        <v>270</v>
      </c>
      <c r="S16" s="229">
        <f>[1]Планки!O16</f>
        <v>28</v>
      </c>
      <c r="T16" s="138">
        <f>[1]Планки!P16</f>
        <v>38</v>
      </c>
      <c r="U16" s="138">
        <f>[1]Планки!Q16</f>
        <v>80</v>
      </c>
      <c r="V16" s="230">
        <f>[1]Планки!R16</f>
        <v>0</v>
      </c>
      <c r="AB16" s="220"/>
      <c r="AC16" s="220">
        <f>'[2]Изложницы без бурта'!A16</f>
        <v>0</v>
      </c>
      <c r="AD16" s="220">
        <f>'[2]Изложницы без бурта'!B16</f>
        <v>60</v>
      </c>
      <c r="AE16" s="220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6">
        <v>520</v>
      </c>
      <c r="AP16" s="366" t="s">
        <v>451</v>
      </c>
      <c r="AR16" s="368">
        <v>160</v>
      </c>
      <c r="AS16" s="367">
        <v>142.5</v>
      </c>
      <c r="AT16" s="368">
        <v>200</v>
      </c>
      <c r="AU16" s="368">
        <v>150</v>
      </c>
      <c r="AV16" s="368">
        <v>285</v>
      </c>
      <c r="AW16" s="367">
        <v>320</v>
      </c>
      <c r="AX16" s="393" t="s">
        <v>488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5" t="s">
        <v>128</v>
      </c>
      <c r="B17" s="226" t="s">
        <v>129</v>
      </c>
      <c r="C17" s="226" t="s">
        <v>130</v>
      </c>
      <c r="D17" s="226" t="s">
        <v>120</v>
      </c>
      <c r="E17" s="226" t="s">
        <v>131</v>
      </c>
      <c r="F17" s="226" t="s">
        <v>132</v>
      </c>
      <c r="G17" s="226"/>
      <c r="H17" s="226" t="s">
        <v>133</v>
      </c>
      <c r="I17" s="227">
        <v>7.5</v>
      </c>
      <c r="L17" s="228">
        <f>[1]Планки!H17</f>
        <v>49</v>
      </c>
      <c r="M17" s="138">
        <f>[1]Планки!I17</f>
        <v>780</v>
      </c>
      <c r="N17" s="138">
        <f>[1]Планки!J17</f>
        <v>190</v>
      </c>
      <c r="O17" s="229">
        <f>[1]Планки!K17</f>
        <v>590</v>
      </c>
      <c r="P17" s="229">
        <f>[1]Планки!L17</f>
        <v>265</v>
      </c>
      <c r="Q17" s="138">
        <f>[1]Планки!M17</f>
        <v>270</v>
      </c>
      <c r="R17" s="138">
        <f>[1]Планки!N17</f>
        <v>320</v>
      </c>
      <c r="S17" s="229">
        <f>[1]Планки!O17</f>
        <v>50</v>
      </c>
      <c r="T17" s="138">
        <f>[1]Планки!P17</f>
        <v>60</v>
      </c>
      <c r="U17" s="138">
        <f>[1]Планки!Q17</f>
        <v>140</v>
      </c>
      <c r="V17" s="230" t="str">
        <f>[1]Планки!R17</f>
        <v>модель нашита  (L4=45 L5=55 L6=135) +2 бурта</v>
      </c>
      <c r="AB17" s="220"/>
      <c r="AC17" s="220">
        <f>'[2]Изложницы без бурта'!A17</f>
        <v>0</v>
      </c>
      <c r="AD17" s="220">
        <f>'[2]Изложницы без бурта'!B17</f>
        <v>60</v>
      </c>
      <c r="AE17" s="220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6">
        <v>550</v>
      </c>
      <c r="AP17" s="366" t="s">
        <v>452</v>
      </c>
      <c r="AR17" s="368">
        <v>161</v>
      </c>
      <c r="AS17" s="368">
        <v>145</v>
      </c>
      <c r="AT17" s="368">
        <v>200</v>
      </c>
      <c r="AU17" s="368">
        <v>150</v>
      </c>
      <c r="AV17" s="368">
        <v>285</v>
      </c>
      <c r="AW17" s="367">
        <v>320</v>
      </c>
      <c r="AX17" s="393" t="s">
        <v>488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5" t="s">
        <v>37</v>
      </c>
      <c r="B18" s="226" t="s">
        <v>129</v>
      </c>
      <c r="C18" s="226" t="s">
        <v>130</v>
      </c>
      <c r="D18" s="226" t="s">
        <v>120</v>
      </c>
      <c r="E18" s="226" t="s">
        <v>131</v>
      </c>
      <c r="F18" s="226" t="s">
        <v>132</v>
      </c>
      <c r="G18" s="226"/>
      <c r="H18" s="226" t="s">
        <v>133</v>
      </c>
      <c r="I18" s="227">
        <v>7.5</v>
      </c>
      <c r="L18" s="228">
        <f>[1]Планки!H18</f>
        <v>52</v>
      </c>
      <c r="M18" s="138">
        <f>[1]Планки!I18</f>
        <v>690</v>
      </c>
      <c r="N18" s="138">
        <f>[1]Планки!J18</f>
        <v>100</v>
      </c>
      <c r="O18" s="229">
        <f>[1]Планки!K18</f>
        <v>590</v>
      </c>
      <c r="P18" s="229">
        <f>[1]Планки!L18</f>
        <v>272</v>
      </c>
      <c r="Q18" s="138">
        <f>[1]Планки!M18</f>
        <v>285</v>
      </c>
      <c r="R18" s="138">
        <f>[1]Планки!N18</f>
        <v>295</v>
      </c>
      <c r="S18" s="229">
        <f>[1]Планки!O18</f>
        <v>125</v>
      </c>
      <c r="T18" s="138">
        <f>[1]Планки!P18</f>
        <v>130</v>
      </c>
      <c r="U18" s="138">
        <f>[1]Планки!Q18</f>
        <v>175</v>
      </c>
      <c r="V18" s="230" t="str">
        <f>[1]Планки!R18</f>
        <v>модель нашита  (L4=27 L5=35 L6=100)</v>
      </c>
      <c r="AB18" s="220"/>
      <c r="AC18" s="220">
        <f>'[2]Изложницы без бурта'!A18</f>
        <v>0</v>
      </c>
      <c r="AD18" s="220">
        <f>'[2]Изложницы без бурта'!B18</f>
        <v>60</v>
      </c>
      <c r="AE18" s="220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6">
        <v>570</v>
      </c>
      <c r="AP18" s="366" t="s">
        <v>453</v>
      </c>
      <c r="AR18" s="368">
        <v>161</v>
      </c>
      <c r="AS18" s="368">
        <v>145</v>
      </c>
      <c r="AT18" s="368">
        <v>200</v>
      </c>
      <c r="AU18" s="368">
        <v>148</v>
      </c>
      <c r="AV18" s="368">
        <v>285</v>
      </c>
      <c r="AW18" s="367">
        <v>320</v>
      </c>
      <c r="AX18" s="393" t="s">
        <v>488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5" t="s">
        <v>28</v>
      </c>
      <c r="B19" s="226" t="s">
        <v>129</v>
      </c>
      <c r="C19" s="226" t="s">
        <v>130</v>
      </c>
      <c r="D19" s="226" t="s">
        <v>120</v>
      </c>
      <c r="E19" s="226" t="s">
        <v>131</v>
      </c>
      <c r="F19" s="226" t="s">
        <v>132</v>
      </c>
      <c r="G19" s="226"/>
      <c r="H19" s="226" t="s">
        <v>133</v>
      </c>
      <c r="I19" s="227">
        <v>7.5</v>
      </c>
      <c r="L19" s="228">
        <f>[1]Планки!H19</f>
        <v>83</v>
      </c>
      <c r="M19" s="138">
        <f>[1]Планки!I19</f>
        <v>715</v>
      </c>
      <c r="N19" s="138">
        <f>[1]Планки!J19</f>
        <v>120</v>
      </c>
      <c r="O19" s="229">
        <f>[1]Планки!K19</f>
        <v>595</v>
      </c>
      <c r="P19" s="229">
        <f>[1]Планки!L19</f>
        <v>280</v>
      </c>
      <c r="Q19" s="138">
        <f>[1]Планки!M19</f>
        <v>290</v>
      </c>
      <c r="R19" s="138">
        <f>[1]Планки!N19</f>
        <v>325</v>
      </c>
      <c r="S19" s="229">
        <f>[1]Планки!O19</f>
        <v>32</v>
      </c>
      <c r="T19" s="138">
        <f>[1]Планки!P19</f>
        <v>41</v>
      </c>
      <c r="U19" s="138">
        <f>[1]Планки!Q19</f>
        <v>95</v>
      </c>
      <c r="V19" s="230">
        <f>[1]Планки!R19</f>
        <v>0</v>
      </c>
      <c r="AB19" s="220"/>
      <c r="AC19" s="220">
        <f>'[2]Изложницы без бурта'!A19</f>
        <v>0</v>
      </c>
      <c r="AD19" s="220">
        <f>'[2]Изложницы без бурта'!B19</f>
        <v>62.5</v>
      </c>
      <c r="AE19" s="220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6">
        <v>610</v>
      </c>
      <c r="AP19" s="366" t="s">
        <v>454</v>
      </c>
      <c r="AR19" s="368">
        <v>160</v>
      </c>
      <c r="AS19" s="368">
        <v>145</v>
      </c>
      <c r="AT19" s="368">
        <v>200</v>
      </c>
      <c r="AU19" s="368">
        <v>150</v>
      </c>
      <c r="AV19" s="368">
        <v>285</v>
      </c>
      <c r="AW19" s="367">
        <v>320</v>
      </c>
      <c r="AX19" s="393" t="s">
        <v>488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6" t="s">
        <v>1190</v>
      </c>
      <c r="B20" s="226" t="s">
        <v>129</v>
      </c>
      <c r="C20" s="226" t="s">
        <v>130</v>
      </c>
      <c r="D20" s="226" t="s">
        <v>120</v>
      </c>
      <c r="E20" s="226" t="s">
        <v>131</v>
      </c>
      <c r="F20" s="226" t="s">
        <v>132</v>
      </c>
      <c r="G20" s="226"/>
      <c r="H20" s="226" t="s">
        <v>133</v>
      </c>
      <c r="I20" s="227">
        <v>7.5</v>
      </c>
      <c r="L20" s="228">
        <f>[1]Планки!H20</f>
        <v>80</v>
      </c>
      <c r="M20" s="138">
        <f>[1]Планки!I20</f>
        <v>755</v>
      </c>
      <c r="N20" s="138">
        <f>[1]Планки!J20</f>
        <v>150</v>
      </c>
      <c r="O20" s="229">
        <f>[1]Планки!K20</f>
        <v>605</v>
      </c>
      <c r="P20" s="229">
        <f>[1]Планки!L20</f>
        <v>160</v>
      </c>
      <c r="Q20" s="138">
        <f>[1]Планки!M20</f>
        <v>175</v>
      </c>
      <c r="R20" s="138">
        <f>[1]Планки!N20</f>
        <v>210</v>
      </c>
      <c r="S20" s="229">
        <f>[1]Планки!O20</f>
        <v>52</v>
      </c>
      <c r="T20" s="138">
        <f>[1]Планки!P20</f>
        <v>60</v>
      </c>
      <c r="U20" s="138">
        <f>[1]Планки!Q20</f>
        <v>115</v>
      </c>
      <c r="V20" s="230" t="str">
        <f>[1]Планки!R20</f>
        <v>модель нашита  (L4=35 L5=42 L6=100)</v>
      </c>
      <c r="AB20" s="220"/>
      <c r="AC20" s="220">
        <f>'[2]Изложницы без бурта'!A20</f>
        <v>0</v>
      </c>
      <c r="AD20" s="220">
        <f>'[2]Изложницы без бурта'!B20</f>
        <v>62.5</v>
      </c>
      <c r="AE20" s="220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6">
        <v>640</v>
      </c>
      <c r="AP20" s="366" t="s">
        <v>455</v>
      </c>
      <c r="AR20" s="368">
        <v>181</v>
      </c>
      <c r="AS20" s="368">
        <v>150</v>
      </c>
      <c r="AT20" s="368">
        <v>200</v>
      </c>
      <c r="AU20" s="369">
        <v>147</v>
      </c>
      <c r="AV20" s="368">
        <v>285</v>
      </c>
      <c r="AW20" s="367">
        <v>320</v>
      </c>
      <c r="AX20" s="393" t="s">
        <v>489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5" t="s">
        <v>137</v>
      </c>
      <c r="B21" s="226" t="s">
        <v>138</v>
      </c>
      <c r="C21" s="226" t="s">
        <v>139</v>
      </c>
      <c r="D21" s="226" t="s">
        <v>140</v>
      </c>
      <c r="E21" s="226" t="s">
        <v>140</v>
      </c>
      <c r="F21" s="226" t="s">
        <v>141</v>
      </c>
      <c r="G21" s="226"/>
      <c r="H21" s="226" t="s">
        <v>123</v>
      </c>
      <c r="I21" s="227">
        <v>8.5</v>
      </c>
      <c r="L21" s="228">
        <f>[1]Планки!H21</f>
        <v>95</v>
      </c>
      <c r="M21" s="138">
        <f>[1]Планки!I21</f>
        <v>825</v>
      </c>
      <c r="N21" s="138">
        <f>[1]Планки!J21</f>
        <v>220</v>
      </c>
      <c r="O21" s="229">
        <f>[1]Планки!K21</f>
        <v>605</v>
      </c>
      <c r="P21" s="229">
        <f>[1]Планки!L21</f>
        <v>325</v>
      </c>
      <c r="Q21" s="138">
        <f>[1]Планки!M21</f>
        <v>340</v>
      </c>
      <c r="R21" s="138">
        <f>[1]Планки!N21</f>
        <v>385</v>
      </c>
      <c r="S21" s="229">
        <f>[1]Планки!O21</f>
        <v>55</v>
      </c>
      <c r="T21" s="138">
        <f>[1]Планки!P21</f>
        <v>65</v>
      </c>
      <c r="U21" s="138">
        <f>[1]Планки!Q21</f>
        <v>140</v>
      </c>
      <c r="V21" s="230">
        <f>[1]Планки!R21</f>
        <v>0</v>
      </c>
      <c r="AB21" s="220"/>
      <c r="AC21" s="220">
        <f>'[2]Изложницы без бурта'!A21</f>
        <v>0</v>
      </c>
      <c r="AD21" s="220">
        <f>'[2]Изложницы без бурта'!B21</f>
        <v>62.5</v>
      </c>
      <c r="AE21" s="220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6">
        <v>670</v>
      </c>
      <c r="AP21" s="366" t="s">
        <v>456</v>
      </c>
      <c r="AR21" s="368">
        <v>180</v>
      </c>
      <c r="AS21" s="368">
        <v>157.5</v>
      </c>
      <c r="AT21" s="375">
        <v>200</v>
      </c>
      <c r="AU21" s="376">
        <v>143</v>
      </c>
      <c r="AV21" s="368">
        <v>285</v>
      </c>
      <c r="AW21" s="367">
        <v>320</v>
      </c>
      <c r="AX21" s="393" t="s">
        <v>490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5" t="s">
        <v>142</v>
      </c>
      <c r="B22" s="226" t="s">
        <v>138</v>
      </c>
      <c r="C22" s="226" t="s">
        <v>139</v>
      </c>
      <c r="D22" s="226" t="s">
        <v>140</v>
      </c>
      <c r="E22" s="226" t="s">
        <v>140</v>
      </c>
      <c r="F22" s="226" t="s">
        <v>143</v>
      </c>
      <c r="G22" s="226"/>
      <c r="H22" s="226" t="s">
        <v>123</v>
      </c>
      <c r="I22" s="227">
        <v>8.5</v>
      </c>
      <c r="L22" s="228">
        <f>[1]Планки!H22</f>
        <v>30</v>
      </c>
      <c r="M22" s="138">
        <f>[1]Планки!I22</f>
        <v>745</v>
      </c>
      <c r="N22" s="138">
        <f>[1]Планки!J22</f>
        <v>130</v>
      </c>
      <c r="O22" s="229">
        <f>[1]Планки!K22</f>
        <v>615</v>
      </c>
      <c r="P22" s="229">
        <f>[1]Планки!L22</f>
        <v>295</v>
      </c>
      <c r="Q22" s="138">
        <f>[1]Планки!M22</f>
        <v>305</v>
      </c>
      <c r="R22" s="138">
        <f>[1]Планки!N22</f>
        <v>340</v>
      </c>
      <c r="S22" s="229">
        <f>[1]Планки!O22</f>
        <v>30</v>
      </c>
      <c r="T22" s="138">
        <f>[1]Планки!P22</f>
        <v>40</v>
      </c>
      <c r="U22" s="138">
        <f>[1]Планки!Q22</f>
        <v>95</v>
      </c>
      <c r="V22" s="230">
        <f>[1]Планки!R22</f>
        <v>0</v>
      </c>
      <c r="AB22" s="220"/>
      <c r="AC22" s="220">
        <f>'[2]Изложницы без бурта'!A22</f>
        <v>0</v>
      </c>
      <c r="AD22" s="220">
        <f>'[2]Изложницы без бурта'!B22</f>
        <v>65</v>
      </c>
      <c r="AE22" s="220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6">
        <v>700</v>
      </c>
      <c r="AP22" s="366" t="s">
        <v>457</v>
      </c>
      <c r="AR22" s="368">
        <v>182</v>
      </c>
      <c r="AS22" s="368">
        <v>160</v>
      </c>
      <c r="AT22" s="368">
        <v>200</v>
      </c>
      <c r="AU22" s="367">
        <v>145</v>
      </c>
      <c r="AV22" s="368">
        <v>285</v>
      </c>
      <c r="AW22" s="367">
        <v>320</v>
      </c>
      <c r="AX22" s="393" t="s">
        <v>490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1" t="s">
        <v>42</v>
      </c>
      <c r="B23" s="232" t="s">
        <v>144</v>
      </c>
      <c r="C23" s="232" t="s">
        <v>144</v>
      </c>
      <c r="D23" s="232" t="s">
        <v>144</v>
      </c>
      <c r="E23" s="232" t="s">
        <v>144</v>
      </c>
      <c r="F23" s="226" t="s">
        <v>145</v>
      </c>
      <c r="G23" s="233"/>
      <c r="H23" s="226" t="s">
        <v>146</v>
      </c>
      <c r="I23" s="227">
        <v>7</v>
      </c>
      <c r="L23" s="228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9">
        <f>[1]Планки!K23</f>
        <v>620</v>
      </c>
      <c r="P23" s="229">
        <f>[1]Планки!L23</f>
        <v>1300</v>
      </c>
      <c r="Q23" s="138">
        <f>[1]Планки!M23</f>
        <v>1325</v>
      </c>
      <c r="R23" s="138">
        <f>[1]Планки!N23</f>
        <v>1335</v>
      </c>
      <c r="S23" s="229">
        <f>[1]Планки!O23</f>
        <v>65</v>
      </c>
      <c r="T23" s="138">
        <f>[1]Планки!P23</f>
        <v>75</v>
      </c>
      <c r="U23" s="138">
        <f>[1]Планки!Q23</f>
        <v>130</v>
      </c>
      <c r="V23" s="230" t="str">
        <f>[1]Планки!R23</f>
        <v>новая модель для заказа 341684-004</v>
      </c>
      <c r="AB23" s="220"/>
      <c r="AC23" s="220">
        <f>'[2]Изложницы без бурта'!A23</f>
        <v>0</v>
      </c>
      <c r="AD23" s="220">
        <f>'[2]Изложницы без бурта'!B23</f>
        <v>65</v>
      </c>
      <c r="AE23" s="220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6">
        <v>743</v>
      </c>
      <c r="AP23" s="366"/>
      <c r="AR23" s="382">
        <v>250</v>
      </c>
      <c r="AS23" s="382">
        <v>160</v>
      </c>
      <c r="AT23" s="382">
        <v>380</v>
      </c>
      <c r="AU23" s="383">
        <v>295</v>
      </c>
      <c r="AV23" s="382">
        <v>285</v>
      </c>
      <c r="AW23" s="384">
        <v>320</v>
      </c>
      <c r="AX23" s="393" t="s">
        <v>491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5" t="s">
        <v>43</v>
      </c>
      <c r="B24" s="232" t="s">
        <v>144</v>
      </c>
      <c r="C24" s="232" t="s">
        <v>144</v>
      </c>
      <c r="D24" s="232" t="s">
        <v>144</v>
      </c>
      <c r="E24" s="232" t="s">
        <v>144</v>
      </c>
      <c r="F24" s="226" t="s">
        <v>145</v>
      </c>
      <c r="G24" s="226"/>
      <c r="H24" s="226" t="s">
        <v>146</v>
      </c>
      <c r="I24" s="227">
        <v>7.1</v>
      </c>
      <c r="L24" s="228">
        <f>[1]Планки!H24</f>
        <v>98</v>
      </c>
      <c r="M24" s="138">
        <f>[1]Планки!I24</f>
        <v>730</v>
      </c>
      <c r="N24" s="138">
        <f>[1]Планки!J24</f>
        <v>105</v>
      </c>
      <c r="O24" s="229">
        <f>[1]Планки!K24</f>
        <v>625</v>
      </c>
      <c r="P24" s="229">
        <f>[1]Планки!L24</f>
        <v>280</v>
      </c>
      <c r="Q24" s="138">
        <f>[1]Планки!M24</f>
        <v>287</v>
      </c>
      <c r="R24" s="138">
        <f>[1]Планки!N24</f>
        <v>315</v>
      </c>
      <c r="S24" s="229">
        <f>[1]Планки!O24</f>
        <v>40</v>
      </c>
      <c r="T24" s="138">
        <f>[1]Планки!P24</f>
        <v>50</v>
      </c>
      <c r="U24" s="138">
        <f>[1]Планки!Q24</f>
        <v>100</v>
      </c>
      <c r="V24" s="230" t="str">
        <f>[1]Планки!R24</f>
        <v>модель нашита  (L4=27 L5=37 L6=85)</v>
      </c>
      <c r="AB24" s="220"/>
      <c r="AC24" s="220">
        <f>'[2]Изложницы без бурта'!A24</f>
        <v>0</v>
      </c>
      <c r="AD24" s="220">
        <f>'[2]Изложницы без бурта'!B24</f>
        <v>65</v>
      </c>
      <c r="AE24" s="220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5">
        <v>242</v>
      </c>
      <c r="AS24" s="385">
        <v>162.5</v>
      </c>
      <c r="AT24" s="375">
        <v>265</v>
      </c>
      <c r="AU24" s="376">
        <v>215</v>
      </c>
      <c r="AV24" s="368">
        <v>285</v>
      </c>
      <c r="AW24" s="367">
        <v>320</v>
      </c>
      <c r="AX24" s="393" t="s">
        <v>492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5" t="s">
        <v>44</v>
      </c>
      <c r="B25" s="232" t="s">
        <v>144</v>
      </c>
      <c r="C25" s="232" t="s">
        <v>144</v>
      </c>
      <c r="D25" s="232" t="s">
        <v>144</v>
      </c>
      <c r="E25" s="232" t="s">
        <v>144</v>
      </c>
      <c r="F25" s="226" t="s">
        <v>145</v>
      </c>
      <c r="G25" s="226"/>
      <c r="H25" s="226" t="s">
        <v>146</v>
      </c>
      <c r="I25" s="227">
        <v>7.2</v>
      </c>
      <c r="L25" s="228">
        <f>[1]Планки!H25</f>
        <v>63</v>
      </c>
      <c r="M25" s="138">
        <f>[1]Планки!I25</f>
        <v>790</v>
      </c>
      <c r="N25" s="138">
        <f>[1]Планки!J25</f>
        <v>160</v>
      </c>
      <c r="O25" s="229">
        <f>[1]Планки!K25</f>
        <v>630</v>
      </c>
      <c r="P25" s="229">
        <f>[1]Планки!L25</f>
        <v>360</v>
      </c>
      <c r="Q25" s="138">
        <f>[1]Планки!M25</f>
        <v>373</v>
      </c>
      <c r="R25" s="138">
        <f>[1]Планки!N25</f>
        <v>410</v>
      </c>
      <c r="S25" s="229">
        <f>[1]Планки!O25</f>
        <v>34</v>
      </c>
      <c r="T25" s="138">
        <f>[1]Планки!P25</f>
        <v>45</v>
      </c>
      <c r="U25" s="138">
        <f>[1]Планки!Q25</f>
        <v>110</v>
      </c>
      <c r="V25" s="230">
        <f>[1]Планки!R25</f>
        <v>0</v>
      </c>
      <c r="AB25" s="220"/>
      <c r="AC25" s="220">
        <f>'[2]Изложницы без бурта'!A25</f>
        <v>0</v>
      </c>
      <c r="AD25" s="220">
        <f>'[2]Изложницы без бурта'!B25</f>
        <v>65</v>
      </c>
      <c r="AE25" s="220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44" t="s">
        <v>1050</v>
      </c>
      <c r="AP25" s="1744"/>
      <c r="AR25" s="368">
        <v>250</v>
      </c>
      <c r="AS25" s="368">
        <v>167.5</v>
      </c>
      <c r="AT25" s="368">
        <v>265</v>
      </c>
      <c r="AU25" s="367">
        <v>230</v>
      </c>
      <c r="AV25" s="368">
        <v>285</v>
      </c>
      <c r="AW25" s="367">
        <v>320</v>
      </c>
      <c r="AX25" s="393" t="s">
        <v>493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1" t="s">
        <v>45</v>
      </c>
      <c r="B26" s="232" t="s">
        <v>144</v>
      </c>
      <c r="C26" s="232" t="s">
        <v>144</v>
      </c>
      <c r="D26" s="232" t="s">
        <v>144</v>
      </c>
      <c r="E26" s="232" t="s">
        <v>144</v>
      </c>
      <c r="F26" s="226" t="s">
        <v>145</v>
      </c>
      <c r="G26" s="233"/>
      <c r="H26" s="226" t="s">
        <v>146</v>
      </c>
      <c r="I26" s="227">
        <v>7.3</v>
      </c>
      <c r="L26" s="228">
        <f>[1]Планки!H26</f>
        <v>59</v>
      </c>
      <c r="M26" s="138">
        <f>[1]Планки!I26</f>
        <v>775</v>
      </c>
      <c r="N26" s="138">
        <f>[1]Планки!J26</f>
        <v>140</v>
      </c>
      <c r="O26" s="229">
        <f>[1]Планки!K26</f>
        <v>635</v>
      </c>
      <c r="P26" s="229">
        <f>[1]Планки!L26</f>
        <v>340</v>
      </c>
      <c r="Q26" s="138">
        <f>[1]Планки!M26</f>
        <v>357</v>
      </c>
      <c r="R26" s="138">
        <f>[1]Планки!N26</f>
        <v>372</v>
      </c>
      <c r="S26" s="229">
        <f>[1]Планки!O26</f>
        <v>28</v>
      </c>
      <c r="T26" s="138">
        <f>[1]Планки!P26</f>
        <v>35</v>
      </c>
      <c r="U26" s="138">
        <f>[1]Планки!Q26</f>
        <v>75</v>
      </c>
      <c r="V26" s="230">
        <f>[1]Планки!R26</f>
        <v>0</v>
      </c>
      <c r="AB26" s="220"/>
      <c r="AC26" s="220">
        <f>'[2]Изложницы без бурта'!A26</f>
        <v>0</v>
      </c>
      <c r="AD26" s="220">
        <f>'[2]Изложницы без бурта'!B26</f>
        <v>65</v>
      </c>
      <c r="AE26" s="220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5" t="s">
        <v>462</v>
      </c>
      <c r="AP26" s="395" t="s">
        <v>463</v>
      </c>
      <c r="AR26" s="368">
        <v>248</v>
      </c>
      <c r="AS26" s="368">
        <v>167.5</v>
      </c>
      <c r="AT26" s="368">
        <v>265</v>
      </c>
      <c r="AU26" s="368">
        <v>230</v>
      </c>
      <c r="AV26" s="368">
        <v>285</v>
      </c>
      <c r="AW26" s="367">
        <v>320</v>
      </c>
      <c r="AX26" s="393" t="s">
        <v>493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4" t="s">
        <v>46</v>
      </c>
      <c r="B27" s="235" t="s">
        <v>144</v>
      </c>
      <c r="C27" s="235" t="s">
        <v>144</v>
      </c>
      <c r="D27" s="235" t="s">
        <v>144</v>
      </c>
      <c r="E27" s="235" t="s">
        <v>144</v>
      </c>
      <c r="F27" s="236" t="s">
        <v>145</v>
      </c>
      <c r="G27" s="237"/>
      <c r="H27" s="236" t="s">
        <v>146</v>
      </c>
      <c r="I27" s="238">
        <v>7.4</v>
      </c>
      <c r="L27" s="228">
        <f>[1]Планки!H27</f>
        <v>4</v>
      </c>
      <c r="M27" s="138">
        <f>[1]Планки!I27</f>
        <v>1185</v>
      </c>
      <c r="N27" s="138">
        <f>[1]Планки!J27</f>
        <v>545</v>
      </c>
      <c r="O27" s="229">
        <f>[1]Планки!K27</f>
        <v>640</v>
      </c>
      <c r="P27" s="229">
        <f>[1]Планки!L27</f>
        <v>223</v>
      </c>
      <c r="Q27" s="138">
        <f>[1]Планки!M27</f>
        <v>230</v>
      </c>
      <c r="R27" s="138">
        <f>[1]Планки!N27</f>
        <v>345</v>
      </c>
      <c r="S27" s="229">
        <f>[1]Планки!O27</f>
        <v>173</v>
      </c>
      <c r="T27" s="138">
        <f>[1]Планки!P27</f>
        <v>185</v>
      </c>
      <c r="U27" s="138">
        <f>[1]Планки!Q27</f>
        <v>305</v>
      </c>
      <c r="V27" s="230">
        <f>[1]Планки!R27</f>
        <v>0</v>
      </c>
      <c r="AB27" s="220"/>
      <c r="AC27" s="220">
        <f>'[2]Изложницы без бурта'!A27</f>
        <v>0</v>
      </c>
      <c r="AD27" s="220">
        <f>'[2]Изложницы без бурта'!B27</f>
        <v>67.5</v>
      </c>
      <c r="AE27" s="220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3">
        <f>VLOOKUP(цб!E29,Данные!AD79:AF1156,3)</f>
        <v>285</v>
      </c>
      <c r="AP27" s="393">
        <f>VLOOKUP('цб с буртом'!E31,кок_с_буртом,5)</f>
        <v>375</v>
      </c>
      <c r="AR27" s="368">
        <v>250</v>
      </c>
      <c r="AS27" s="368">
        <v>170</v>
      </c>
      <c r="AT27" s="368">
        <v>265</v>
      </c>
      <c r="AU27" s="368">
        <v>230</v>
      </c>
      <c r="AV27" s="368">
        <v>285</v>
      </c>
      <c r="AW27" s="367">
        <v>320</v>
      </c>
      <c r="AX27" s="393" t="s">
        <v>493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9"/>
      <c r="B28" s="138"/>
      <c r="C28" s="138"/>
      <c r="D28" s="138"/>
      <c r="E28" s="138"/>
      <c r="F28" s="138"/>
      <c r="G28" s="240"/>
      <c r="H28" s="240"/>
      <c r="L28" s="228">
        <f>[1]Планки!H28</f>
        <v>76</v>
      </c>
      <c r="M28" s="138">
        <f>[1]Планки!I28</f>
        <v>765</v>
      </c>
      <c r="N28" s="138">
        <f>[1]Планки!J28</f>
        <v>125</v>
      </c>
      <c r="O28" s="229">
        <f>[1]Планки!K28</f>
        <v>640</v>
      </c>
      <c r="P28" s="229">
        <f>[1]Планки!L28</f>
        <v>235</v>
      </c>
      <c r="Q28" s="138">
        <f>[1]Планки!M28</f>
        <v>252</v>
      </c>
      <c r="R28" s="138">
        <f>[1]Планки!N28</f>
        <v>290</v>
      </c>
      <c r="S28" s="229">
        <f>[1]Планки!O28</f>
        <v>27</v>
      </c>
      <c r="T28" s="138">
        <f>[1]Планки!P28</f>
        <v>37</v>
      </c>
      <c r="U28" s="138">
        <f>[1]Планки!Q28</f>
        <v>90</v>
      </c>
      <c r="V28" s="230">
        <f>[1]Планки!R28</f>
        <v>0</v>
      </c>
      <c r="AB28" s="220"/>
      <c r="AC28" s="220">
        <f>'[2]Изложницы без бурта'!A28</f>
        <v>0</v>
      </c>
      <c r="AD28" s="220">
        <f>'[2]Изложницы без бурта'!B28</f>
        <v>67.5</v>
      </c>
      <c r="AE28" s="220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8">
        <v>250</v>
      </c>
      <c r="AS28" s="368">
        <v>170</v>
      </c>
      <c r="AT28" s="368">
        <v>265</v>
      </c>
      <c r="AU28" s="368">
        <v>235</v>
      </c>
      <c r="AV28" s="368">
        <v>285</v>
      </c>
      <c r="AW28" s="367">
        <v>320</v>
      </c>
      <c r="AX28" s="393" t="s">
        <v>493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1"/>
      <c r="B29" s="64" t="s">
        <v>1184</v>
      </c>
      <c r="C29" s="67" t="s">
        <v>1185</v>
      </c>
      <c r="D29" s="67"/>
      <c r="E29" s="64" t="s">
        <v>147</v>
      </c>
      <c r="F29" s="64" t="s">
        <v>119</v>
      </c>
      <c r="G29" s="64" t="s">
        <v>123</v>
      </c>
      <c r="H29" s="64" t="s">
        <v>133</v>
      </c>
      <c r="I29" s="213" t="s">
        <v>146</v>
      </c>
      <c r="L29" s="228">
        <f>[1]Планки!H29</f>
        <v>78</v>
      </c>
      <c r="M29" s="138">
        <f>[1]Планки!I29</f>
        <v>745</v>
      </c>
      <c r="N29" s="138">
        <f>[1]Планки!J29</f>
        <v>105</v>
      </c>
      <c r="O29" s="229">
        <f>[1]Планки!K29</f>
        <v>640</v>
      </c>
      <c r="P29" s="229">
        <f>[1]Планки!L29</f>
        <v>240</v>
      </c>
      <c r="Q29" s="138">
        <f>[1]Планки!M29</f>
        <v>247</v>
      </c>
      <c r="R29" s="138">
        <f>[1]Планки!N29</f>
        <v>280</v>
      </c>
      <c r="S29" s="229">
        <f>[1]Планки!O29</f>
        <v>27</v>
      </c>
      <c r="T29" s="138">
        <f>[1]Планки!P29</f>
        <v>35</v>
      </c>
      <c r="U29" s="138">
        <f>[1]Планки!Q29</f>
        <v>80</v>
      </c>
      <c r="V29" s="230">
        <f>[1]Планки!R29</f>
        <v>0</v>
      </c>
      <c r="AB29" s="220"/>
      <c r="AC29" s="220">
        <f>'[2]Изложницы без бурта'!A29</f>
        <v>0</v>
      </c>
      <c r="AD29" s="220">
        <f>'[2]Изложницы без бурта'!B29</f>
        <v>67.5</v>
      </c>
      <c r="AE29" s="220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8">
        <v>251</v>
      </c>
      <c r="AS29" s="368">
        <v>170</v>
      </c>
      <c r="AT29" s="368">
        <v>265</v>
      </c>
      <c r="AU29" s="368">
        <v>230</v>
      </c>
      <c r="AV29" s="368">
        <v>285</v>
      </c>
      <c r="AW29" s="367">
        <v>320</v>
      </c>
      <c r="AX29" s="393" t="s">
        <v>493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148</v>
      </c>
      <c r="B30" s="57" t="str">
        <f>_xlfn.IFNA(_xlfn.IFS(D30=E29,E30,D30=F29,F30,D30=G29,G30,D30=H29,H30),H25)</f>
        <v>242.04.464-1</v>
      </c>
      <c r="C30" s="57"/>
      <c r="D30" s="66" t="str">
        <f>VLOOKUP(Втулка!G8,Данные!A3:H27,8,FALSE())</f>
        <v>242.04.464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>242.04.464-1</v>
      </c>
      <c r="I30" s="214"/>
      <c r="L30" s="228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9">
        <f>[1]Планки!K30</f>
        <v>640</v>
      </c>
      <c r="P30" s="229">
        <f>[1]Планки!L30</f>
        <v>240</v>
      </c>
      <c r="Q30" s="138">
        <f>[1]Планки!M30</f>
        <v>240</v>
      </c>
      <c r="R30" s="138">
        <f>[1]Планки!N30</f>
        <v>260</v>
      </c>
      <c r="S30" s="229">
        <f>[1]Планки!O30</f>
        <v>104</v>
      </c>
      <c r="T30" s="138">
        <f>[1]Планки!P30</f>
        <v>104</v>
      </c>
      <c r="U30" s="138">
        <f>[1]Планки!Q30</f>
        <v>160</v>
      </c>
      <c r="V30" s="230" t="str">
        <f>[1]Планки!R30</f>
        <v>с 19.09.2017</v>
      </c>
      <c r="AB30" s="220"/>
      <c r="AC30" s="220">
        <f>'[2]Изложницы без бурта'!A30</f>
        <v>0</v>
      </c>
      <c r="AD30" s="220">
        <f>'[2]Изложницы без бурта'!B30</f>
        <v>67.5</v>
      </c>
      <c r="AE30" s="220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8">
        <v>250</v>
      </c>
      <c r="AS30" s="368">
        <v>170</v>
      </c>
      <c r="AT30" s="368">
        <v>265</v>
      </c>
      <c r="AU30" s="368">
        <v>230</v>
      </c>
      <c r="AV30" s="368">
        <v>285</v>
      </c>
      <c r="AW30" s="367">
        <v>320</v>
      </c>
      <c r="AX30" s="393" t="s">
        <v>493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2" t="s">
        <v>26</v>
      </c>
      <c r="B31" s="69">
        <f>ROUND(_xlfn.IFS(D30=E29,E31,D30=F29,F31,D30=G29,G31,D30=H29,H31,D30=I29,I31),2)</f>
        <v>33.61</v>
      </c>
      <c r="C31" s="69"/>
      <c r="D31" s="69"/>
      <c r="E31" s="69"/>
      <c r="F31" s="69" t="e">
        <f>G131</f>
        <v>#N/A</v>
      </c>
      <c r="G31" s="243" t="e">
        <f>H102</f>
        <v>#N/A</v>
      </c>
      <c r="H31" s="243">
        <f>I117</f>
        <v>33.612176321034376</v>
      </c>
      <c r="I31" s="244">
        <f>(14*70*7.1*(Втулка!N5+Втулка!N8)/1000000)+(Втулка!N30*Втулка!N30*3.1415926*7.1*(Втулка!N5+Втулка!N8)/4000000)</f>
        <v>3.8895219999999999</v>
      </c>
      <c r="L31" s="228">
        <f>[1]Планки!H31</f>
        <v>89</v>
      </c>
      <c r="M31" s="138">
        <f>[1]Планки!I31</f>
        <v>760</v>
      </c>
      <c r="N31" s="138">
        <f>[1]Планки!J31</f>
        <v>120</v>
      </c>
      <c r="O31" s="229">
        <f>[1]Планки!K31</f>
        <v>640</v>
      </c>
      <c r="P31" s="229">
        <f>[1]Планки!L31</f>
        <v>275</v>
      </c>
      <c r="Q31" s="138">
        <f>[1]Планки!M31</f>
        <v>285</v>
      </c>
      <c r="R31" s="138">
        <f>[1]Планки!N31</f>
        <v>310</v>
      </c>
      <c r="S31" s="229">
        <f>[1]Планки!O31</f>
        <v>37</v>
      </c>
      <c r="T31" s="138">
        <f>[1]Планки!P31</f>
        <v>45</v>
      </c>
      <c r="U31" s="138">
        <f>[1]Планки!Q31</f>
        <v>190</v>
      </c>
      <c r="V31" s="230" t="str">
        <f>[1]Планки!R31</f>
        <v>модель нашита  (L4=32 L5=40 L6=185)</v>
      </c>
      <c r="AB31" s="220"/>
      <c r="AC31" s="220">
        <f>'[2]Изложницы без бурта'!A31</f>
        <v>0</v>
      </c>
      <c r="AD31" s="220">
        <f>'[2]Изложницы без бурта'!B31</f>
        <v>67.5</v>
      </c>
      <c r="AE31" s="220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8">
        <v>250</v>
      </c>
      <c r="AS31" s="368">
        <v>170</v>
      </c>
      <c r="AT31" s="368">
        <v>265</v>
      </c>
      <c r="AU31" s="368">
        <v>230</v>
      </c>
      <c r="AV31" s="368">
        <v>285</v>
      </c>
      <c r="AW31" s="367">
        <v>320</v>
      </c>
      <c r="AX31" s="393" t="s">
        <v>493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8" t="s">
        <v>253</v>
      </c>
      <c r="B32" s="786">
        <f>Втулка!N5</f>
        <v>464</v>
      </c>
      <c r="C32" s="787" t="s">
        <v>313</v>
      </c>
      <c r="D32" s="786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786" t="s">
        <v>254</v>
      </c>
      <c r="F32" s="245">
        <f>ROUND(VLOOKUP(D32,A137:F154,6,FALSE),0)</f>
        <v>4</v>
      </c>
      <c r="G32" s="792" t="s">
        <v>267</v>
      </c>
      <c r="H32" s="786"/>
      <c r="I32" s="788"/>
      <c r="L32" s="228">
        <f>[1]Планки!H32</f>
        <v>85</v>
      </c>
      <c r="M32" s="138">
        <f>[1]Планки!I32</f>
        <v>940</v>
      </c>
      <c r="N32" s="138">
        <f>[1]Планки!J32</f>
        <v>300</v>
      </c>
      <c r="O32" s="229">
        <f>[1]Планки!K32</f>
        <v>640</v>
      </c>
      <c r="P32" s="229">
        <f>[1]Планки!L32</f>
        <v>290</v>
      </c>
      <c r="Q32" s="138">
        <f>[1]Планки!M32</f>
        <v>310</v>
      </c>
      <c r="R32" s="138">
        <f>[1]Планки!N32</f>
        <v>375</v>
      </c>
      <c r="S32" s="229">
        <f>[1]Планки!O32</f>
        <v>75</v>
      </c>
      <c r="T32" s="138">
        <f>[1]Планки!P32</f>
        <v>85</v>
      </c>
      <c r="U32" s="138">
        <f>[1]Планки!Q32</f>
        <v>200</v>
      </c>
      <c r="V32" s="230" t="str">
        <f>[1]Планки!R32</f>
        <v>модель нашита  (L4=57 L5=67 L6=170)</v>
      </c>
      <c r="AB32" s="220"/>
      <c r="AC32" s="220">
        <f>'[2]Изложницы без бурта'!A32</f>
        <v>0</v>
      </c>
      <c r="AD32" s="220">
        <f>'[2]Изложницы без бурта'!B32</f>
        <v>67.5</v>
      </c>
      <c r="AE32" s="220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8">
        <v>250</v>
      </c>
      <c r="AS32" s="368">
        <v>170</v>
      </c>
      <c r="AT32" s="368">
        <v>265</v>
      </c>
      <c r="AU32" s="368">
        <v>230</v>
      </c>
      <c r="AV32" s="368">
        <v>285</v>
      </c>
      <c r="AW32" s="367">
        <v>320</v>
      </c>
      <c r="AX32" s="393" t="s">
        <v>493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5" t="s">
        <v>413</v>
      </c>
      <c r="B33" s="245">
        <f>Втулка!J28+F32*2</f>
        <v>327</v>
      </c>
      <c r="C33" s="245">
        <f>(Втулка!J28+Данные!B33)/2</f>
        <v>323</v>
      </c>
      <c r="D33" s="245" t="s">
        <v>414</v>
      </c>
      <c r="E33" s="245" t="s">
        <v>275</v>
      </c>
      <c r="F33" s="245" t="b">
        <v>0</v>
      </c>
      <c r="G33" s="793" t="s">
        <v>268</v>
      </c>
      <c r="H33" s="793">
        <f>(Втулка!J28-Втулка!I28)/2</f>
        <v>30.5</v>
      </c>
      <c r="I33" s="789"/>
      <c r="L33" s="228">
        <f>[1]Планки!H33</f>
        <v>79</v>
      </c>
      <c r="M33" s="138">
        <f>[1]Планки!I33</f>
        <v>795</v>
      </c>
      <c r="N33" s="138">
        <f>[1]Планки!J33</f>
        <v>150</v>
      </c>
      <c r="O33" s="229">
        <f>[1]Планки!K33</f>
        <v>645</v>
      </c>
      <c r="P33" s="229">
        <f>[1]Планки!L33</f>
        <v>137</v>
      </c>
      <c r="Q33" s="138">
        <f>[1]Планки!M33</f>
        <v>150</v>
      </c>
      <c r="R33" s="138">
        <f>[1]Планки!N33</f>
        <v>185</v>
      </c>
      <c r="S33" s="229">
        <f>[1]Планки!O33</f>
        <v>37</v>
      </c>
      <c r="T33" s="138">
        <f>[1]Планки!P33</f>
        <v>50</v>
      </c>
      <c r="U33" s="138">
        <f>[1]Планки!Q33</f>
        <v>105</v>
      </c>
      <c r="V33" s="230" t="str">
        <f>[1]Планки!R33</f>
        <v>модель нашита  (L4=32 L5=45 L6=100)</v>
      </c>
      <c r="AB33" s="220"/>
      <c r="AC33" s="220">
        <f>'[2]Изложницы без бурта'!A33</f>
        <v>0</v>
      </c>
      <c r="AD33" s="220">
        <f>'[2]Изложницы без бурта'!B33</f>
        <v>67.5</v>
      </c>
      <c r="AE33" s="220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8">
        <v>190</v>
      </c>
      <c r="AS33" s="368">
        <v>170</v>
      </c>
      <c r="AT33" s="369">
        <v>263</v>
      </c>
      <c r="AU33" s="369">
        <v>213</v>
      </c>
      <c r="AV33" s="368">
        <v>285</v>
      </c>
      <c r="AW33" s="367">
        <v>320</v>
      </c>
      <c r="AX33" s="393" t="s">
        <v>494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5" t="s">
        <v>256</v>
      </c>
      <c r="B34" s="245">
        <f>((C33*C33-Втулка!I28*Втулка!I28)*3.1415926*(Втулка!F22+15)*Втулка!N6)/4000000</f>
        <v>105.22084062552563</v>
      </c>
      <c r="C34" s="245"/>
      <c r="D34" s="245"/>
      <c r="E34" s="245" t="s">
        <v>278</v>
      </c>
      <c r="F34" s="245" t="b">
        <v>0</v>
      </c>
      <c r="G34" s="793" t="s">
        <v>270</v>
      </c>
      <c r="H34" s="793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1080-1100</v>
      </c>
      <c r="I34" s="789"/>
      <c r="L34" s="228">
        <f>[1]Планки!H34</f>
        <v>11</v>
      </c>
      <c r="M34" s="138">
        <f>[1]Планки!I34</f>
        <v>810</v>
      </c>
      <c r="N34" s="138">
        <f>[1]Планки!J34</f>
        <v>165</v>
      </c>
      <c r="O34" s="229">
        <f>[1]Планки!K34</f>
        <v>645</v>
      </c>
      <c r="P34" s="229">
        <f>[1]Планки!L34</f>
        <v>195</v>
      </c>
      <c r="Q34" s="138">
        <f>[1]Планки!M34</f>
        <v>210</v>
      </c>
      <c r="R34" s="138">
        <f>[1]Планки!N34</f>
        <v>245</v>
      </c>
      <c r="S34" s="229">
        <f>[1]Планки!O34</f>
        <v>40</v>
      </c>
      <c r="T34" s="138">
        <f>[1]Планки!P34</f>
        <v>47</v>
      </c>
      <c r="U34" s="138">
        <f>[1]Планки!Q34</f>
        <v>120</v>
      </c>
      <c r="V34" s="230">
        <f>[1]Планки!R34</f>
        <v>0</v>
      </c>
      <c r="AB34" s="220"/>
      <c r="AC34" s="220">
        <f>'[2]Изложницы без бурта'!A34</f>
        <v>0</v>
      </c>
      <c r="AD34" s="220">
        <f>'[2]Изложницы без бурта'!B34</f>
        <v>67.5</v>
      </c>
      <c r="AE34" s="220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8">
        <v>250</v>
      </c>
      <c r="AS34" s="375">
        <v>170</v>
      </c>
      <c r="AT34" s="376">
        <v>260</v>
      </c>
      <c r="AU34" s="376">
        <v>200</v>
      </c>
      <c r="AV34" s="368">
        <v>285</v>
      </c>
      <c r="AW34" s="367">
        <v>320</v>
      </c>
      <c r="AX34" s="393" t="s">
        <v>493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5" t="s">
        <v>257</v>
      </c>
      <c r="B35" s="1149">
        <f>IF(Втулка!O8=0,Данные!I36,Данные!I37)</f>
        <v>35.476299445192971</v>
      </c>
      <c r="C35" s="245" t="s">
        <v>357</v>
      </c>
      <c r="D35" s="245">
        <f>B33+(Втулка!N8/10)+Втулка!E24*2</f>
        <v>360.5</v>
      </c>
      <c r="E35" s="245"/>
      <c r="F35" s="790"/>
      <c r="G35" s="790"/>
      <c r="H35" s="790"/>
      <c r="I35" s="795"/>
      <c r="L35" s="228">
        <f>[1]Планки!H35</f>
        <v>77</v>
      </c>
      <c r="M35" s="138">
        <f>[1]Планки!I35</f>
        <v>740</v>
      </c>
      <c r="N35" s="138">
        <f>[1]Планки!J35</f>
        <v>95</v>
      </c>
      <c r="O35" s="229">
        <f>[1]Планки!K35</f>
        <v>645</v>
      </c>
      <c r="P35" s="229">
        <f>[1]Планки!L35</f>
        <v>215</v>
      </c>
      <c r="Q35" s="138">
        <f>[1]Планки!M35</f>
        <v>225</v>
      </c>
      <c r="R35" s="138">
        <f>[1]Планки!N35</f>
        <v>250</v>
      </c>
      <c r="S35" s="229">
        <f>[1]Планки!O35</f>
        <v>25</v>
      </c>
      <c r="T35" s="138">
        <f>[1]Планки!P35</f>
        <v>33</v>
      </c>
      <c r="U35" s="138">
        <f>[1]Планки!Q35</f>
        <v>70</v>
      </c>
      <c r="V35" s="230">
        <f>[1]Планки!R35</f>
        <v>0</v>
      </c>
      <c r="AB35" s="220"/>
      <c r="AC35" s="220">
        <f>'[2]Изложницы без бурта'!A35</f>
        <v>0</v>
      </c>
      <c r="AD35" s="220">
        <f>'[2]Изложницы без бурта'!B35</f>
        <v>67.5</v>
      </c>
      <c r="AE35" s="220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8">
        <v>250</v>
      </c>
      <c r="AS35" s="368">
        <v>170</v>
      </c>
      <c r="AT35" s="367">
        <v>265</v>
      </c>
      <c r="AU35" s="367">
        <v>230</v>
      </c>
      <c r="AV35" s="368">
        <v>285</v>
      </c>
      <c r="AW35" s="367">
        <v>320</v>
      </c>
      <c r="AX35" s="393" t="s">
        <v>493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5"/>
      <c r="B36" s="245">
        <f>ROUNDUP((B34+I36),0)</f>
        <v>141</v>
      </c>
      <c r="C36" s="245"/>
      <c r="D36" s="245"/>
      <c r="E36" s="789"/>
      <c r="F36" s="791" t="s">
        <v>943</v>
      </c>
      <c r="G36" s="809">
        <f>VLOOKUP(Втулка!G8,A3:I27,9,FALSE())</f>
        <v>7.5</v>
      </c>
      <c r="H36" s="1737" t="s">
        <v>257</v>
      </c>
      <c r="I36" s="788">
        <f>((D35*D35-Втулка!I28*Втулка!I28)*3.1415926*Втулка!N6*Втулка!N8)/4000000</f>
        <v>35.476299445192971</v>
      </c>
      <c r="L36" s="228">
        <f>[1]Планки!H36</f>
        <v>75</v>
      </c>
      <c r="M36" s="138">
        <f>[1]Планки!I36</f>
        <v>760</v>
      </c>
      <c r="N36" s="138">
        <f>[1]Планки!J36</f>
        <v>110</v>
      </c>
      <c r="O36" s="229">
        <f>[1]Планки!K36</f>
        <v>650</v>
      </c>
      <c r="P36" s="229">
        <f>[1]Планки!L36</f>
        <v>237</v>
      </c>
      <c r="Q36" s="138">
        <f>[1]Планки!M36</f>
        <v>247</v>
      </c>
      <c r="R36" s="138">
        <f>[1]Планки!N36</f>
        <v>275</v>
      </c>
      <c r="S36" s="229">
        <f>[1]Планки!O36</f>
        <v>29</v>
      </c>
      <c r="T36" s="138">
        <f>[1]Планки!P36</f>
        <v>35</v>
      </c>
      <c r="U36" s="138">
        <f>[1]Планки!Q36</f>
        <v>75</v>
      </c>
      <c r="V36" s="230">
        <f>[1]Планки!R36</f>
        <v>0</v>
      </c>
      <c r="AB36" s="220"/>
      <c r="AC36" s="220">
        <f>'[2]Изложницы без бурта'!A36</f>
        <v>0</v>
      </c>
      <c r="AD36" s="220">
        <f>'[2]Изложницы без бурта'!B36</f>
        <v>67.5</v>
      </c>
      <c r="AE36" s="220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8">
        <v>190</v>
      </c>
      <c r="AS36" s="368">
        <v>172.5</v>
      </c>
      <c r="AT36" s="368">
        <v>265</v>
      </c>
      <c r="AU36" s="368">
        <v>215</v>
      </c>
      <c r="AV36" s="368">
        <v>285</v>
      </c>
      <c r="AW36" s="367">
        <v>320</v>
      </c>
      <c r="AX36" s="393" t="s">
        <v>494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8" t="s">
        <v>273</v>
      </c>
      <c r="B37" s="790" t="b">
        <v>0</v>
      </c>
      <c r="C37" s="790" t="b">
        <v>0</v>
      </c>
      <c r="D37" s="790"/>
      <c r="E37" s="795"/>
      <c r="F37" s="785" t="s">
        <v>944</v>
      </c>
      <c r="G37" s="784" t="b">
        <f>IF(G36=8.88,IF(OR(B36&lt;=1500,Втулка!N5+Втулка!N8&lt;=700),"242.04.463","242.04.462"))</f>
        <v>0</v>
      </c>
      <c r="H37" s="1738"/>
      <c r="I37" s="795">
        <f>((D35*D35-Втулка!I28*Втулка!I28)*3.1415926*Втулка!N6*Втулка!O8)/4000000</f>
        <v>0</v>
      </c>
      <c r="L37" s="228">
        <f>[1]Планки!H37</f>
        <v>88</v>
      </c>
      <c r="M37" s="138">
        <f>[1]Планки!I37</f>
        <v>800</v>
      </c>
      <c r="N37" s="138">
        <f>[1]Планки!J37</f>
        <v>150</v>
      </c>
      <c r="O37" s="229">
        <f>[1]Планки!K37</f>
        <v>650</v>
      </c>
      <c r="P37" s="229">
        <f>[1]Планки!L37</f>
        <v>305</v>
      </c>
      <c r="Q37" s="138">
        <f>[1]Планки!M37</f>
        <v>318</v>
      </c>
      <c r="R37" s="138">
        <f>[1]Планки!N37</f>
        <v>345</v>
      </c>
      <c r="S37" s="229">
        <f>[1]Планки!O37</f>
        <v>35</v>
      </c>
      <c r="T37" s="138">
        <f>[1]Планки!P37</f>
        <v>43</v>
      </c>
      <c r="U37" s="138">
        <f>[1]Планки!Q37</f>
        <v>110</v>
      </c>
      <c r="V37" s="230">
        <f>[1]Планки!R37</f>
        <v>0</v>
      </c>
      <c r="AB37" s="220"/>
      <c r="AC37" s="220">
        <f>'[2]Изложницы без бурта'!A37</f>
        <v>0</v>
      </c>
      <c r="AD37" s="220">
        <f>'[2]Изложницы без бурта'!B37</f>
        <v>70</v>
      </c>
      <c r="AE37" s="220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8">
        <v>250</v>
      </c>
      <c r="AS37" s="368">
        <v>177.5</v>
      </c>
      <c r="AT37" s="368">
        <v>265</v>
      </c>
      <c r="AU37" s="368">
        <v>215</v>
      </c>
      <c r="AV37" s="368">
        <v>285</v>
      </c>
      <c r="AW37" s="367">
        <v>320</v>
      </c>
      <c r="AX37" s="393" t="s">
        <v>495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6" t="s">
        <v>274</v>
      </c>
      <c r="B38" s="797" t="b">
        <v>1</v>
      </c>
      <c r="C38" s="798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1060-1080</v>
      </c>
      <c r="D38" s="799" t="s">
        <v>254</v>
      </c>
      <c r="E38" s="800">
        <f>ROUND(VLOOKUP(E39,A137:F154,6,FALSE),0)</f>
        <v>5</v>
      </c>
      <c r="F38" s="794" t="s">
        <v>945</v>
      </c>
      <c r="G38" s="810"/>
      <c r="L38" s="228">
        <f>[1]Планки!H38</f>
        <v>55</v>
      </c>
      <c r="M38" s="138">
        <f>[1]Планки!I38</f>
        <v>795</v>
      </c>
      <c r="N38" s="138">
        <f>[1]Планки!J38</f>
        <v>140</v>
      </c>
      <c r="O38" s="229">
        <f>[1]Планки!K38</f>
        <v>655</v>
      </c>
      <c r="P38" s="229">
        <f>[1]Планки!L38</f>
        <v>292</v>
      </c>
      <c r="Q38" s="138">
        <f>[1]Планки!M38</f>
        <v>310</v>
      </c>
      <c r="R38" s="138">
        <f>[1]Планки!N38</f>
        <v>345</v>
      </c>
      <c r="S38" s="229">
        <f>[1]Планки!O38</f>
        <v>100</v>
      </c>
      <c r="T38" s="138">
        <f>[1]Планки!P38</f>
        <v>115</v>
      </c>
      <c r="U38" s="138">
        <f>[1]Планки!Q38</f>
        <v>220</v>
      </c>
      <c r="V38" s="230" t="str">
        <f>[1]Планки!R38</f>
        <v>модель нашита  (L4=35 L5=50 L6=160)</v>
      </c>
      <c r="AB38" s="220"/>
      <c r="AC38" s="220">
        <f>'[2]Изложницы без бурта'!A38</f>
        <v>0</v>
      </c>
      <c r="AD38" s="220">
        <f>'[2]Изложницы без бурта'!B38</f>
        <v>70</v>
      </c>
      <c r="AE38" s="220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8">
        <v>232</v>
      </c>
      <c r="AS38" s="368">
        <v>180</v>
      </c>
      <c r="AT38" s="368">
        <v>265</v>
      </c>
      <c r="AU38" s="368">
        <v>205</v>
      </c>
      <c r="AV38" s="368">
        <v>285</v>
      </c>
      <c r="AW38" s="367">
        <v>320</v>
      </c>
      <c r="AX38" s="393" t="s">
        <v>495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801" t="s">
        <v>312</v>
      </c>
      <c r="B39" s="802" t="b">
        <v>0</v>
      </c>
      <c r="C39" s="803"/>
      <c r="D39" s="803" t="s">
        <v>314</v>
      </c>
      <c r="E39" s="804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L39" s="228">
        <f>[1]Планки!H39</f>
        <v>101</v>
      </c>
      <c r="M39" s="138">
        <f>[1]Планки!I39</f>
        <v>800</v>
      </c>
      <c r="N39" s="138">
        <f>[1]Планки!J39</f>
        <v>140</v>
      </c>
      <c r="O39" s="229">
        <f>[1]Планки!K39</f>
        <v>660</v>
      </c>
      <c r="P39" s="229">
        <f>[1]Планки!L39</f>
        <v>155</v>
      </c>
      <c r="Q39" s="138">
        <f>[1]Планки!M39</f>
        <v>167</v>
      </c>
      <c r="R39" s="138">
        <f>[1]Планки!N39</f>
        <v>200</v>
      </c>
      <c r="S39" s="229">
        <f>[1]Планки!O39</f>
        <v>40</v>
      </c>
      <c r="T39" s="138">
        <f>[1]Планки!P39</f>
        <v>55</v>
      </c>
      <c r="U39" s="138">
        <f>[1]Планки!Q39</f>
        <v>120</v>
      </c>
      <c r="V39" s="230" t="str">
        <f>[1]Планки!R39</f>
        <v>модель нашита  (L4=25 L5=43 L6=100)</v>
      </c>
      <c r="AB39" s="220"/>
      <c r="AC39" s="220">
        <f>'[2]Изложницы без бурта'!A39</f>
        <v>0</v>
      </c>
      <c r="AD39" s="220">
        <f>'[2]Изложницы без бурта'!B39</f>
        <v>70</v>
      </c>
      <c r="AE39" s="220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8">
        <v>230</v>
      </c>
      <c r="AS39" s="368">
        <v>180</v>
      </c>
      <c r="AT39" s="368">
        <v>265</v>
      </c>
      <c r="AU39" s="368">
        <v>210</v>
      </c>
      <c r="AV39" s="368">
        <v>285</v>
      </c>
      <c r="AW39" s="367">
        <v>320</v>
      </c>
      <c r="AX39" s="393" t="s">
        <v>495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801" t="s">
        <v>315</v>
      </c>
      <c r="B40" s="802">
        <f>Планка!M8</f>
        <v>640</v>
      </c>
      <c r="C40" s="803"/>
      <c r="D40" s="803" t="s">
        <v>1248</v>
      </c>
      <c r="E40" s="804">
        <f>(Планка!M4+Планка!M5)/2</f>
        <v>31</v>
      </c>
      <c r="L40" s="228">
        <f>[1]Планки!H40</f>
        <v>102</v>
      </c>
      <c r="M40" s="138">
        <f>[1]Планки!I40</f>
        <v>800</v>
      </c>
      <c r="N40" s="138">
        <f>[1]Планки!J40</f>
        <v>140</v>
      </c>
      <c r="O40" s="229">
        <f>[1]Планки!K40</f>
        <v>660</v>
      </c>
      <c r="P40" s="229">
        <f>[1]Планки!L40</f>
        <v>155</v>
      </c>
      <c r="Q40" s="138">
        <f>[1]Планки!M40</f>
        <v>170</v>
      </c>
      <c r="R40" s="138">
        <f>[1]Планки!N40</f>
        <v>190</v>
      </c>
      <c r="S40" s="229">
        <f>[1]Планки!O40</f>
        <v>40</v>
      </c>
      <c r="T40" s="138">
        <f>[1]Планки!P40</f>
        <v>55</v>
      </c>
      <c r="U40" s="138">
        <f>[1]Планки!Q40</f>
        <v>110</v>
      </c>
      <c r="V40" s="230" t="str">
        <f>[1]Планки!R40</f>
        <v>модель нашита  (L4=27 L5=43 L6=100)</v>
      </c>
      <c r="AB40" s="220"/>
      <c r="AC40" s="220">
        <f>'[2]Изложницы без бурта'!A40</f>
        <v>0</v>
      </c>
      <c r="AD40" s="220">
        <f>'[2]Изложницы без бурта'!B40</f>
        <v>70</v>
      </c>
      <c r="AE40" s="220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8">
        <v>220</v>
      </c>
      <c r="AS40" s="369">
        <v>190</v>
      </c>
      <c r="AT40" s="368">
        <v>200</v>
      </c>
      <c r="AU40" s="368">
        <v>145</v>
      </c>
      <c r="AV40" s="368">
        <v>285</v>
      </c>
      <c r="AW40" s="367">
        <v>320</v>
      </c>
      <c r="AX40" s="393" t="s">
        <v>496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801" t="s">
        <v>324</v>
      </c>
      <c r="B41" s="802" t="b">
        <v>1</v>
      </c>
      <c r="C41" s="803"/>
      <c r="D41" s="803"/>
      <c r="E41" s="804"/>
      <c r="L41" s="228">
        <f>[1]Планки!H41</f>
        <v>22</v>
      </c>
      <c r="M41" s="138">
        <f>[1]Планки!I41</f>
        <v>840</v>
      </c>
      <c r="N41" s="138">
        <f>[1]Планки!J41</f>
        <v>180</v>
      </c>
      <c r="O41" s="229">
        <f>[1]Планки!K41</f>
        <v>660</v>
      </c>
      <c r="P41" s="229">
        <f>[1]Планки!L41</f>
        <v>294</v>
      </c>
      <c r="Q41" s="138">
        <f>[1]Планки!M41</f>
        <v>310</v>
      </c>
      <c r="R41" s="138">
        <f>[1]Планки!N41</f>
        <v>350</v>
      </c>
      <c r="S41" s="229">
        <f>[1]Планки!O41</f>
        <v>107</v>
      </c>
      <c r="T41" s="138">
        <f>[1]Планки!P41</f>
        <v>117</v>
      </c>
      <c r="U41" s="138">
        <f>[1]Планки!Q41</f>
        <v>185</v>
      </c>
      <c r="V41" s="230" t="str">
        <f>[1]Планки!R41</f>
        <v>модель нашита  (L4=45 L5=50 L6=120)</v>
      </c>
      <c r="AB41" s="220"/>
      <c r="AC41" s="220">
        <f>'[2]Изложницы без бурта'!A41</f>
        <v>0</v>
      </c>
      <c r="AD41" s="220">
        <f>'[2]Изложницы без бурта'!B41</f>
        <v>70</v>
      </c>
      <c r="AE41" s="220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5">
        <v>250</v>
      </c>
      <c r="AS41" s="376">
        <v>190</v>
      </c>
      <c r="AT41" s="377">
        <v>265</v>
      </c>
      <c r="AU41" s="368">
        <v>228</v>
      </c>
      <c r="AV41" s="368">
        <v>285</v>
      </c>
      <c r="AW41" s="367">
        <v>320</v>
      </c>
      <c r="AX41" s="393" t="s">
        <v>493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5" t="s">
        <v>326</v>
      </c>
      <c r="B42" s="806" t="b">
        <v>0</v>
      </c>
      <c r="C42" s="807"/>
      <c r="D42" s="807"/>
      <c r="E42" s="808"/>
      <c r="L42" s="228">
        <f>[1]Планки!H42</f>
        <v>13</v>
      </c>
      <c r="M42" s="138">
        <f>[1]Планки!I42</f>
        <v>825</v>
      </c>
      <c r="N42" s="138">
        <f>[1]Планки!J42</f>
        <v>165</v>
      </c>
      <c r="O42" s="229">
        <f>[1]Планки!K42</f>
        <v>660</v>
      </c>
      <c r="P42" s="229">
        <f>[1]Планки!L42</f>
        <v>325</v>
      </c>
      <c r="Q42" s="138">
        <f>[1]Планки!M42</f>
        <v>338</v>
      </c>
      <c r="R42" s="138">
        <f>[1]Планки!N42</f>
        <v>375</v>
      </c>
      <c r="S42" s="229">
        <f>[1]Планки!O42</f>
        <v>80</v>
      </c>
      <c r="T42" s="138">
        <f>[1]Планки!P42</f>
        <v>90</v>
      </c>
      <c r="U42" s="138">
        <f>[1]Планки!Q42</f>
        <v>155</v>
      </c>
      <c r="V42" s="230" t="str">
        <f>[1]Планки!R42</f>
        <v>модель нашита  (L4=37 L5=47 L6=115)</v>
      </c>
      <c r="AB42" s="220"/>
      <c r="AC42" s="220">
        <f>'[2]Изложницы без бурта'!A42</f>
        <v>0</v>
      </c>
      <c r="AD42" s="220">
        <f>'[2]Изложницы без бурта'!B42</f>
        <v>70</v>
      </c>
      <c r="AE42" s="220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8">
        <v>280</v>
      </c>
      <c r="AS42" s="367">
        <v>190</v>
      </c>
      <c r="AT42" s="368">
        <v>320</v>
      </c>
      <c r="AU42" s="368">
        <v>265</v>
      </c>
      <c r="AV42" s="368">
        <v>375</v>
      </c>
      <c r="AW42" s="368">
        <v>450</v>
      </c>
      <c r="AX42" s="393" t="s">
        <v>478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8">
        <f>[1]Планки!H43</f>
        <v>94</v>
      </c>
      <c r="M43" s="138">
        <f>[1]Планки!I43</f>
        <v>805</v>
      </c>
      <c r="N43" s="138">
        <f>[1]Планки!J43</f>
        <v>140</v>
      </c>
      <c r="O43" s="229">
        <f>[1]Планки!K43</f>
        <v>665</v>
      </c>
      <c r="P43" s="229">
        <f>[1]Планки!L43</f>
        <v>160</v>
      </c>
      <c r="Q43" s="138">
        <f>[1]Планки!M43</f>
        <v>180</v>
      </c>
      <c r="R43" s="138">
        <f>[1]Планки!N43</f>
        <v>200</v>
      </c>
      <c r="S43" s="229">
        <f>[1]Планки!O43</f>
        <v>28</v>
      </c>
      <c r="T43" s="138">
        <f>[1]Планки!P43</f>
        <v>41</v>
      </c>
      <c r="U43" s="138">
        <f>[1]Планки!Q43</f>
        <v>100</v>
      </c>
      <c r="V43" s="230">
        <f>[1]Планки!R43</f>
        <v>0</v>
      </c>
      <c r="AB43" s="220"/>
      <c r="AC43" s="220">
        <f>'[2]Изложницы без бурта'!A43</f>
        <v>0</v>
      </c>
      <c r="AD43" s="220">
        <f>'[2]Изложницы без бурта'!B43</f>
        <v>70</v>
      </c>
      <c r="AE43" s="220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8">
        <v>240</v>
      </c>
      <c r="AS43" s="368">
        <v>192.5</v>
      </c>
      <c r="AT43" s="368">
        <v>260</v>
      </c>
      <c r="AU43" s="368">
        <v>205</v>
      </c>
      <c r="AV43" s="368">
        <v>375</v>
      </c>
      <c r="AW43" s="368">
        <v>450</v>
      </c>
      <c r="AX43" s="393" t="s">
        <v>497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6" t="s">
        <v>149</v>
      </c>
      <c r="C44" s="1734" t="s">
        <v>150</v>
      </c>
      <c r="D44" s="1734"/>
      <c r="E44" s="1734"/>
      <c r="L44" s="228">
        <f>[1]Планки!H44</f>
        <v>65</v>
      </c>
      <c r="M44" s="138">
        <f>[1]Планки!I44</f>
        <v>825</v>
      </c>
      <c r="N44" s="138">
        <f>[1]Планки!J44</f>
        <v>160</v>
      </c>
      <c r="O44" s="229">
        <f>[1]Планки!K44</f>
        <v>665</v>
      </c>
      <c r="P44" s="229">
        <f>[1]Планки!L44</f>
        <v>265</v>
      </c>
      <c r="Q44" s="138">
        <f>[1]Планки!M44</f>
        <v>278</v>
      </c>
      <c r="R44" s="138">
        <f>[1]Планки!N44</f>
        <v>320</v>
      </c>
      <c r="S44" s="229">
        <f>[1]Планки!O44</f>
        <v>52</v>
      </c>
      <c r="T44" s="138">
        <f>[1]Планки!P44</f>
        <v>60</v>
      </c>
      <c r="U44" s="138">
        <f>[1]Планки!Q44</f>
        <v>135</v>
      </c>
      <c r="V44" s="230" t="str">
        <f>[1]Планки!R44</f>
        <v>модель нашита  (L4=40 L5=48 L6=123)</v>
      </c>
      <c r="AB44" s="220"/>
      <c r="AC44" s="220">
        <f>'[2]Изложницы без бурта'!A44</f>
        <v>0</v>
      </c>
      <c r="AD44" s="220">
        <f>'[2]Изложницы без бурта'!B44</f>
        <v>72.5</v>
      </c>
      <c r="AE44" s="220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9">
        <v>358</v>
      </c>
      <c r="AS44" s="369">
        <v>210</v>
      </c>
      <c r="AT44" s="368">
        <v>320</v>
      </c>
      <c r="AU44" s="368">
        <f>AT44-38</f>
        <v>282</v>
      </c>
      <c r="AV44" s="368">
        <v>375</v>
      </c>
      <c r="AW44" s="368">
        <v>450</v>
      </c>
      <c r="AX44" s="393" t="s">
        <v>498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7" t="s">
        <v>119</v>
      </c>
      <c r="B45" s="248"/>
      <c r="C45" s="249" t="s">
        <v>151</v>
      </c>
      <c r="D45" s="249" t="s">
        <v>152</v>
      </c>
      <c r="E45" s="249" t="s">
        <v>153</v>
      </c>
      <c r="F45" s="250" t="s">
        <v>154</v>
      </c>
      <c r="G45" s="250" t="s">
        <v>155</v>
      </c>
      <c r="H45" s="250" t="s">
        <v>156</v>
      </c>
      <c r="I45" s="251" t="s">
        <v>219</v>
      </c>
      <c r="L45" s="228">
        <f>[1]Планки!H45</f>
        <v>100</v>
      </c>
      <c r="M45" s="138">
        <f>[1]Планки!I45</f>
        <v>835</v>
      </c>
      <c r="N45" s="138">
        <f>[1]Планки!J45</f>
        <v>170</v>
      </c>
      <c r="O45" s="229">
        <f>[1]Планки!K45</f>
        <v>665</v>
      </c>
      <c r="P45" s="229">
        <f>[1]Планки!L45</f>
        <v>353</v>
      </c>
      <c r="Q45" s="138">
        <f>[1]Планки!M45</f>
        <v>355</v>
      </c>
      <c r="R45" s="138">
        <f>[1]Планки!N45</f>
        <v>395</v>
      </c>
      <c r="S45" s="229">
        <f>[1]Планки!O45</f>
        <v>35</v>
      </c>
      <c r="T45" s="138">
        <f>[1]Планки!P45</f>
        <v>48</v>
      </c>
      <c r="U45" s="138">
        <f>[1]Планки!Q45</f>
        <v>110</v>
      </c>
      <c r="V45" s="230">
        <f>[1]Планки!R45</f>
        <v>0</v>
      </c>
      <c r="AB45" s="220"/>
      <c r="AC45" s="220">
        <f>'[2]Изложницы без бурта'!A45</f>
        <v>0</v>
      </c>
      <c r="AD45" s="220">
        <f>'[2]Изложницы без бурта'!B45</f>
        <v>72.5</v>
      </c>
      <c r="AE45" s="220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6">
        <v>315</v>
      </c>
      <c r="AS45" s="376">
        <v>220</v>
      </c>
      <c r="AT45" s="377">
        <v>320</v>
      </c>
      <c r="AU45" s="368">
        <v>280</v>
      </c>
      <c r="AV45" s="368">
        <v>375</v>
      </c>
      <c r="AW45" s="368">
        <v>450</v>
      </c>
      <c r="AX45" s="393" t="s">
        <v>533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2"/>
      <c r="B46" s="248"/>
      <c r="D46" s="253"/>
      <c r="F46" s="253"/>
      <c r="L46" s="228">
        <f>[1]Планки!H46</f>
        <v>21</v>
      </c>
      <c r="M46" s="138">
        <f>[1]Планки!I46</f>
        <v>840</v>
      </c>
      <c r="N46" s="138">
        <f>[1]Планки!J46</f>
        <v>170</v>
      </c>
      <c r="O46" s="229">
        <f>[1]Планки!K46</f>
        <v>670</v>
      </c>
      <c r="P46" s="229">
        <f>[1]Планки!L46</f>
        <v>355</v>
      </c>
      <c r="Q46" s="138">
        <f>[1]Планки!M46</f>
        <v>365</v>
      </c>
      <c r="R46" s="138">
        <f>[1]Планки!N46</f>
        <v>400</v>
      </c>
      <c r="S46" s="229">
        <f>[1]Планки!O46</f>
        <v>40</v>
      </c>
      <c r="T46" s="138">
        <f>[1]Планки!P46</f>
        <v>48</v>
      </c>
      <c r="U46" s="138">
        <f>[1]Планки!Q46</f>
        <v>110</v>
      </c>
      <c r="V46" s="230">
        <f>[1]Планки!R46</f>
        <v>0</v>
      </c>
      <c r="AB46" s="220"/>
      <c r="AC46" s="220">
        <f>'[2]Изложницы без бурта'!A46</f>
        <v>0</v>
      </c>
      <c r="AD46" s="220">
        <f>'[2]Изложницы без бурта'!B46</f>
        <v>72.5</v>
      </c>
      <c r="AE46" s="220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7">
        <v>311</v>
      </c>
      <c r="AS46" s="367">
        <v>222.5</v>
      </c>
      <c r="AT46" s="368">
        <v>320</v>
      </c>
      <c r="AU46" s="368">
        <v>280</v>
      </c>
      <c r="AV46" s="368">
        <v>375</v>
      </c>
      <c r="AW46" s="368">
        <v>450</v>
      </c>
      <c r="AX46" s="393" t="s">
        <v>479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2" t="s">
        <v>157</v>
      </c>
      <c r="B47" s="248" t="s">
        <v>158</v>
      </c>
      <c r="C47" s="56">
        <v>40</v>
      </c>
      <c r="D47" s="253">
        <v>50</v>
      </c>
      <c r="E47" s="56">
        <v>50</v>
      </c>
      <c r="F47" s="253">
        <v>60</v>
      </c>
      <c r="G47" s="56">
        <v>65</v>
      </c>
      <c r="H47" s="253">
        <v>14</v>
      </c>
      <c r="I47" s="56">
        <v>70</v>
      </c>
      <c r="L47" s="228">
        <f>[1]Планки!H47</f>
        <v>16</v>
      </c>
      <c r="M47" s="138">
        <f>[1]Планки!I47</f>
        <v>835</v>
      </c>
      <c r="N47" s="138">
        <f>[1]Планки!J47</f>
        <v>165</v>
      </c>
      <c r="O47" s="229">
        <f>[1]Планки!K47</f>
        <v>670</v>
      </c>
      <c r="P47" s="229">
        <f>[1]Планки!L47</f>
        <v>520</v>
      </c>
      <c r="Q47" s="138">
        <f>[1]Планки!M47</f>
        <v>533</v>
      </c>
      <c r="R47" s="138">
        <f>[1]Планки!N47</f>
        <v>580</v>
      </c>
      <c r="S47" s="229">
        <f>[1]Планки!O47</f>
        <v>58</v>
      </c>
      <c r="T47" s="138">
        <f>[1]Планки!P47</f>
        <v>66</v>
      </c>
      <c r="U47" s="138">
        <f>[1]Планки!Q47</f>
        <v>135</v>
      </c>
      <c r="V47" s="230" t="str">
        <f>[1]Планки!R47</f>
        <v>модель нашита  (L4=43 L5=51 L6=120)</v>
      </c>
      <c r="AB47" s="220"/>
      <c r="AC47" s="220">
        <f>'[2]Изложницы без бурта'!A47</f>
        <v>0</v>
      </c>
      <c r="AD47" s="220">
        <f>'[2]Изложницы без бурта'!B47</f>
        <v>72.5</v>
      </c>
      <c r="AE47" s="220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8">
        <v>317</v>
      </c>
      <c r="AS47" s="368">
        <v>227.5</v>
      </c>
      <c r="AT47" s="368">
        <v>378</v>
      </c>
      <c r="AU47" s="368">
        <v>313</v>
      </c>
      <c r="AV47" s="368">
        <v>375</v>
      </c>
      <c r="AW47" s="368">
        <v>450</v>
      </c>
      <c r="AX47" s="393" t="s">
        <v>499</v>
      </c>
    </row>
    <row r="48" spans="1:60" ht="14.4" x14ac:dyDescent="0.25">
      <c r="A48" s="252" t="s">
        <v>159</v>
      </c>
      <c r="B48" s="248" t="s">
        <v>160</v>
      </c>
      <c r="C48" s="56">
        <v>40</v>
      </c>
      <c r="D48" s="253">
        <v>50</v>
      </c>
      <c r="E48" s="56">
        <v>50</v>
      </c>
      <c r="F48" s="253">
        <v>65</v>
      </c>
      <c r="G48" s="56">
        <v>70</v>
      </c>
      <c r="H48" s="253">
        <v>14</v>
      </c>
      <c r="I48" s="56">
        <v>70</v>
      </c>
      <c r="L48" s="228">
        <f>[1]Планки!H48</f>
        <v>18</v>
      </c>
      <c r="M48" s="138">
        <f>[1]Планки!I48</f>
        <v>835</v>
      </c>
      <c r="N48" s="138">
        <f>[1]Планки!J48</f>
        <v>165</v>
      </c>
      <c r="O48" s="229">
        <f>[1]Планки!K48</f>
        <v>670</v>
      </c>
      <c r="P48" s="229">
        <f>[1]Планки!L48</f>
        <v>550</v>
      </c>
      <c r="Q48" s="138">
        <f>[1]Планки!M48</f>
        <v>560</v>
      </c>
      <c r="R48" s="138">
        <f>[1]Планки!N48</f>
        <v>605</v>
      </c>
      <c r="S48" s="229">
        <f>[1]Планки!O48</f>
        <v>37</v>
      </c>
      <c r="T48" s="138">
        <f>[1]Планки!P48</f>
        <v>50</v>
      </c>
      <c r="U48" s="138">
        <f>[1]Планки!Q48</f>
        <v>105</v>
      </c>
      <c r="V48" s="230">
        <f>[1]Планки!R48</f>
        <v>0</v>
      </c>
      <c r="AB48" s="220"/>
      <c r="AC48" s="220">
        <f>'[2]Изложницы без бурта'!A48</f>
        <v>0</v>
      </c>
      <c r="AD48" s="220">
        <f>'[2]Изложницы без бурта'!B48</f>
        <v>72.5</v>
      </c>
      <c r="AE48" s="220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8">
        <v>319</v>
      </c>
      <c r="AS48" s="368">
        <v>230</v>
      </c>
      <c r="AT48" s="368">
        <v>380</v>
      </c>
      <c r="AU48" s="368">
        <v>315</v>
      </c>
      <c r="AV48" s="368">
        <v>375</v>
      </c>
      <c r="AW48" s="368">
        <v>450</v>
      </c>
      <c r="AX48" s="393" t="s">
        <v>500</v>
      </c>
    </row>
    <row r="49" spans="1:50" ht="14.4" x14ac:dyDescent="0.25">
      <c r="A49" s="252" t="s">
        <v>161</v>
      </c>
      <c r="B49" s="248" t="s">
        <v>162</v>
      </c>
      <c r="C49" s="56">
        <v>40</v>
      </c>
      <c r="D49" s="253">
        <v>55</v>
      </c>
      <c r="E49" s="56">
        <v>60</v>
      </c>
      <c r="F49" s="253">
        <v>70</v>
      </c>
      <c r="G49" s="56">
        <v>75</v>
      </c>
      <c r="H49" s="253">
        <v>14</v>
      </c>
      <c r="I49" s="56">
        <v>70</v>
      </c>
      <c r="L49" s="228">
        <f>[1]Планки!H49</f>
        <v>6</v>
      </c>
      <c r="M49" s="138">
        <f>[1]Планки!I49</f>
        <v>780</v>
      </c>
      <c r="N49" s="138">
        <f>[1]Планки!J49</f>
        <v>105</v>
      </c>
      <c r="O49" s="229">
        <f>[1]Планки!K49</f>
        <v>675</v>
      </c>
      <c r="P49" s="229">
        <f>[1]Планки!L49</f>
        <v>127</v>
      </c>
      <c r="Q49" s="138">
        <f>[1]Планки!M49</f>
        <v>137</v>
      </c>
      <c r="R49" s="138">
        <f>[1]Планки!N49</f>
        <v>160</v>
      </c>
      <c r="S49" s="229">
        <f>[1]Планки!O49</f>
        <v>30</v>
      </c>
      <c r="T49" s="138">
        <f>[1]Планки!P49</f>
        <v>35</v>
      </c>
      <c r="U49" s="138">
        <f>[1]Планки!Q49</f>
        <v>77</v>
      </c>
      <c r="V49" s="230">
        <f>[1]Планки!R49</f>
        <v>0</v>
      </c>
      <c r="AB49" s="220"/>
      <c r="AC49" s="220">
        <f>'[2]Изложницы без бурта'!A49</f>
        <v>0</v>
      </c>
      <c r="AD49" s="220">
        <f>'[2]Изложницы без бурта'!B49</f>
        <v>72.5</v>
      </c>
      <c r="AE49" s="220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8">
        <v>270</v>
      </c>
      <c r="AS49" s="368">
        <v>230</v>
      </c>
      <c r="AT49" s="368">
        <v>258</v>
      </c>
      <c r="AU49" s="368">
        <v>208</v>
      </c>
      <c r="AV49" s="368">
        <v>375</v>
      </c>
      <c r="AW49" s="368">
        <v>450</v>
      </c>
      <c r="AX49" s="393" t="s">
        <v>501</v>
      </c>
    </row>
    <row r="50" spans="1:50" ht="14.4" x14ac:dyDescent="0.25">
      <c r="A50" s="252" t="s">
        <v>163</v>
      </c>
      <c r="B50" s="248" t="s">
        <v>164</v>
      </c>
      <c r="C50" s="56">
        <v>40</v>
      </c>
      <c r="D50" s="254">
        <v>55</v>
      </c>
      <c r="E50" s="56">
        <v>60</v>
      </c>
      <c r="F50" s="253">
        <v>75</v>
      </c>
      <c r="G50" s="56">
        <v>80</v>
      </c>
      <c r="H50" s="253">
        <v>20</v>
      </c>
      <c r="I50" s="56">
        <v>80</v>
      </c>
      <c r="L50" s="228">
        <f>[1]Планки!H50</f>
        <v>36</v>
      </c>
      <c r="M50" s="138">
        <f>[1]Планки!I50</f>
        <v>845</v>
      </c>
      <c r="N50" s="138">
        <f>[1]Планки!J50</f>
        <v>170</v>
      </c>
      <c r="O50" s="229">
        <f>[1]Планки!K50</f>
        <v>675</v>
      </c>
      <c r="P50" s="229">
        <f>[1]Планки!L50</f>
        <v>360</v>
      </c>
      <c r="Q50" s="138">
        <f>[1]Планки!M50</f>
        <v>370</v>
      </c>
      <c r="R50" s="138">
        <f>[1]Планки!N50</f>
        <v>405</v>
      </c>
      <c r="S50" s="229">
        <f>[1]Планки!O50</f>
        <v>40</v>
      </c>
      <c r="T50" s="138">
        <f>[1]Планки!P50</f>
        <v>51</v>
      </c>
      <c r="U50" s="138">
        <f>[1]Планки!Q50</f>
        <v>110</v>
      </c>
      <c r="V50" s="230">
        <f>[1]Планки!R50</f>
        <v>0</v>
      </c>
      <c r="AB50" s="220"/>
      <c r="AC50" s="220">
        <f>'[2]Изложницы без бурта'!A50</f>
        <v>0</v>
      </c>
      <c r="AD50" s="220">
        <f>'[2]Изложницы без бурта'!B50</f>
        <v>75</v>
      </c>
      <c r="AE50" s="220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8">
        <v>321</v>
      </c>
      <c r="AS50" s="368">
        <v>230</v>
      </c>
      <c r="AT50" s="368">
        <v>318</v>
      </c>
      <c r="AU50" s="368">
        <v>255</v>
      </c>
      <c r="AV50" s="368">
        <v>375</v>
      </c>
      <c r="AW50" s="368">
        <v>450</v>
      </c>
      <c r="AX50" s="393" t="s">
        <v>502</v>
      </c>
    </row>
    <row r="51" spans="1:50" ht="14.4" x14ac:dyDescent="0.25">
      <c r="A51" s="252" t="s">
        <v>165</v>
      </c>
      <c r="B51" s="248" t="s">
        <v>166</v>
      </c>
      <c r="C51" s="56">
        <v>45</v>
      </c>
      <c r="D51" s="253">
        <v>60</v>
      </c>
      <c r="E51" s="254">
        <v>65</v>
      </c>
      <c r="F51" s="253">
        <v>85</v>
      </c>
      <c r="G51" s="56">
        <v>95</v>
      </c>
      <c r="H51" s="253">
        <v>20</v>
      </c>
      <c r="I51" s="56">
        <v>80</v>
      </c>
      <c r="L51" s="228">
        <f>[1]Планки!H51</f>
        <v>20</v>
      </c>
      <c r="M51" s="138">
        <f>[1]Планки!I51</f>
        <v>840</v>
      </c>
      <c r="N51" s="138">
        <f>[1]Планки!J51</f>
        <v>165</v>
      </c>
      <c r="O51" s="229">
        <f>[1]Планки!K51</f>
        <v>675</v>
      </c>
      <c r="P51" s="229">
        <f>[1]Планки!L51</f>
        <v>525</v>
      </c>
      <c r="Q51" s="138">
        <f>[1]Планки!M51</f>
        <v>532</v>
      </c>
      <c r="R51" s="138">
        <f>[1]Планки!N51</f>
        <v>570</v>
      </c>
      <c r="S51" s="229">
        <f>[1]Планки!O51</f>
        <v>55</v>
      </c>
      <c r="T51" s="138">
        <f>[1]Планки!P51</f>
        <v>65</v>
      </c>
      <c r="U51" s="138">
        <f>[1]Планки!Q51</f>
        <v>130</v>
      </c>
      <c r="V51" s="230" t="str">
        <f>[1]Планки!R51</f>
        <v>модель нашита  (L4=43 L5=53 L6=118)</v>
      </c>
      <c r="AB51" s="220"/>
      <c r="AC51" s="220">
        <f>'[2]Изложницы без бурта'!A51</f>
        <v>0</v>
      </c>
      <c r="AD51" s="220">
        <f>'[2]Изложницы без бурта'!B51</f>
        <v>75</v>
      </c>
      <c r="AE51" s="220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8">
        <v>317</v>
      </c>
      <c r="AS51" s="368">
        <v>230</v>
      </c>
      <c r="AT51" s="368">
        <v>320</v>
      </c>
      <c r="AU51" s="368">
        <v>260</v>
      </c>
      <c r="AV51" s="368">
        <v>360</v>
      </c>
      <c r="AW51" s="368">
        <v>450</v>
      </c>
      <c r="AX51" s="393" t="s">
        <v>502</v>
      </c>
    </row>
    <row r="52" spans="1:50" ht="14.4" x14ac:dyDescent="0.25">
      <c r="A52" s="252" t="s">
        <v>167</v>
      </c>
      <c r="B52" s="248" t="s">
        <v>168</v>
      </c>
      <c r="C52" s="56">
        <v>45</v>
      </c>
      <c r="D52" s="253">
        <v>60</v>
      </c>
      <c r="E52" s="56">
        <v>65</v>
      </c>
      <c r="F52" s="253">
        <v>90</v>
      </c>
      <c r="G52" s="56">
        <v>100</v>
      </c>
      <c r="H52" s="253">
        <v>20</v>
      </c>
      <c r="I52" s="56">
        <v>80</v>
      </c>
      <c r="L52" s="228">
        <f>[1]Планки!H52</f>
        <v>19</v>
      </c>
      <c r="M52" s="138">
        <f>[1]Планки!I52</f>
        <v>850</v>
      </c>
      <c r="N52" s="138">
        <f>[1]Планки!J52</f>
        <v>170</v>
      </c>
      <c r="O52" s="229">
        <f>[1]Планки!K52</f>
        <v>680</v>
      </c>
      <c r="P52" s="229">
        <f>[1]Планки!L52</f>
        <v>545</v>
      </c>
      <c r="Q52" s="138">
        <f>[1]Планки!M52</f>
        <v>560</v>
      </c>
      <c r="R52" s="138">
        <f>[1]Планки!N52</f>
        <v>600</v>
      </c>
      <c r="S52" s="229">
        <f>[1]Планки!O52</f>
        <v>37</v>
      </c>
      <c r="T52" s="138">
        <f>[1]Планки!P52</f>
        <v>45</v>
      </c>
      <c r="U52" s="138">
        <f>[1]Планки!Q52</f>
        <v>110</v>
      </c>
      <c r="V52" s="230">
        <f>[1]Планки!R52</f>
        <v>0</v>
      </c>
      <c r="AB52" s="220"/>
      <c r="AC52" s="220">
        <f>'[2]Изложницы без бурта'!A52</f>
        <v>0</v>
      </c>
      <c r="AD52" s="220">
        <f>'[2]Изложницы без бурта'!B52</f>
        <v>75</v>
      </c>
      <c r="AE52" s="220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8">
        <v>318</v>
      </c>
      <c r="AS52" s="368">
        <v>232.5</v>
      </c>
      <c r="AT52" s="368">
        <v>380</v>
      </c>
      <c r="AU52" s="368">
        <v>320</v>
      </c>
      <c r="AV52" s="368">
        <v>375</v>
      </c>
      <c r="AW52" s="368">
        <v>450</v>
      </c>
      <c r="AX52" s="393" t="s">
        <v>503</v>
      </c>
    </row>
    <row r="53" spans="1:50" ht="14.4" x14ac:dyDescent="0.25">
      <c r="A53" s="252" t="s">
        <v>169</v>
      </c>
      <c r="B53" s="248" t="s">
        <v>170</v>
      </c>
      <c r="C53" s="56">
        <v>50</v>
      </c>
      <c r="D53" s="253">
        <v>60</v>
      </c>
      <c r="E53" s="56">
        <v>65</v>
      </c>
      <c r="F53" s="253">
        <v>100</v>
      </c>
      <c r="G53" s="56">
        <v>110</v>
      </c>
      <c r="H53" s="253">
        <v>20</v>
      </c>
      <c r="I53" s="56">
        <v>80</v>
      </c>
      <c r="L53" s="228">
        <f>[1]Планки!H53</f>
        <v>87</v>
      </c>
      <c r="M53" s="138">
        <f>[1]Планки!I53</f>
        <v>835</v>
      </c>
      <c r="N53" s="138">
        <f>[1]Планки!J53</f>
        <v>150</v>
      </c>
      <c r="O53" s="229">
        <f>[1]Планки!K53</f>
        <v>685</v>
      </c>
      <c r="P53" s="229">
        <f>[1]Планки!L53</f>
        <v>250</v>
      </c>
      <c r="Q53" s="138">
        <f>[1]Планки!M53</f>
        <v>265</v>
      </c>
      <c r="R53" s="138">
        <f>[1]Планки!N53</f>
        <v>295</v>
      </c>
      <c r="S53" s="229">
        <f>[1]Планки!O53</f>
        <v>35</v>
      </c>
      <c r="T53" s="138">
        <f>[1]Планки!P53</f>
        <v>44</v>
      </c>
      <c r="U53" s="138">
        <f>[1]Планки!Q53</f>
        <v>105</v>
      </c>
      <c r="V53" s="230">
        <f>[1]Планки!R53</f>
        <v>0</v>
      </c>
      <c r="AB53" s="220"/>
      <c r="AC53" s="220">
        <f>'[2]Изложницы без бурта'!A53</f>
        <v>0</v>
      </c>
      <c r="AD53" s="220">
        <f>'[2]Изложницы без бурта'!B53</f>
        <v>75</v>
      </c>
      <c r="AE53" s="220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8">
        <v>270</v>
      </c>
      <c r="AS53" s="368">
        <v>232.5</v>
      </c>
      <c r="AT53" s="368">
        <v>260</v>
      </c>
      <c r="AU53" s="368">
        <v>210</v>
      </c>
      <c r="AV53" s="368">
        <v>375</v>
      </c>
      <c r="AW53" s="368">
        <v>450</v>
      </c>
      <c r="AX53" s="393" t="s">
        <v>501</v>
      </c>
    </row>
    <row r="54" spans="1:50" ht="15" thickBot="1" x14ac:dyDescent="0.3">
      <c r="A54" s="252" t="s">
        <v>171</v>
      </c>
      <c r="B54" s="248" t="s">
        <v>172</v>
      </c>
      <c r="C54" s="56">
        <v>50</v>
      </c>
      <c r="D54" s="253">
        <v>65</v>
      </c>
      <c r="E54" s="56">
        <v>65</v>
      </c>
      <c r="F54" s="253">
        <v>110</v>
      </c>
      <c r="G54" s="56">
        <v>120</v>
      </c>
      <c r="H54" s="253">
        <v>20</v>
      </c>
      <c r="I54" s="56">
        <v>80</v>
      </c>
      <c r="L54" s="228">
        <f>[1]Планки!H54</f>
        <v>28</v>
      </c>
      <c r="M54" s="138">
        <f>[1]Планки!I54</f>
        <v>845</v>
      </c>
      <c r="N54" s="138">
        <f>[1]Планки!J54</f>
        <v>150</v>
      </c>
      <c r="O54" s="229">
        <f>[1]Планки!K54</f>
        <v>695</v>
      </c>
      <c r="P54" s="229">
        <f>[1]Планки!L54</f>
        <v>405</v>
      </c>
      <c r="Q54" s="138">
        <f>[1]Планки!M54</f>
        <v>420</v>
      </c>
      <c r="R54" s="138">
        <f>[1]Планки!N54</f>
        <v>450</v>
      </c>
      <c r="S54" s="229">
        <f>[1]Планки!O54</f>
        <v>46</v>
      </c>
      <c r="T54" s="138">
        <f>[1]Планки!P54</f>
        <v>55</v>
      </c>
      <c r="U54" s="138">
        <f>[1]Планки!Q54</f>
        <v>105</v>
      </c>
      <c r="V54" s="230" t="str">
        <f>[1]Планки!R54</f>
        <v>модель нашита  (L4=34 L5=43 L6=93)</v>
      </c>
      <c r="AB54" s="220"/>
      <c r="AC54" s="220">
        <f>'[2]Изложницы без бурта'!A54</f>
        <v>0</v>
      </c>
      <c r="AD54" s="220">
        <f>'[2]Изложницы без бурта'!B54</f>
        <v>77.5</v>
      </c>
      <c r="AE54" s="220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9">
        <v>312</v>
      </c>
      <c r="AS54" s="368">
        <v>237.5</v>
      </c>
      <c r="AT54" s="368">
        <v>320</v>
      </c>
      <c r="AU54" s="368">
        <v>275</v>
      </c>
      <c r="AV54" s="368">
        <v>375</v>
      </c>
      <c r="AW54" s="368">
        <v>450</v>
      </c>
      <c r="AX54" s="393" t="s">
        <v>504</v>
      </c>
    </row>
    <row r="55" spans="1:50" ht="15" thickBot="1" x14ac:dyDescent="0.3">
      <c r="A55" s="252" t="s">
        <v>173</v>
      </c>
      <c r="B55" s="248" t="s">
        <v>174</v>
      </c>
      <c r="C55" s="56">
        <v>50</v>
      </c>
      <c r="D55" s="253">
        <v>65</v>
      </c>
      <c r="E55" s="56">
        <v>65</v>
      </c>
      <c r="F55" s="253">
        <v>120</v>
      </c>
      <c r="G55" s="56">
        <v>130</v>
      </c>
      <c r="H55" s="253">
        <v>20</v>
      </c>
      <c r="I55" s="56">
        <v>80</v>
      </c>
      <c r="L55" s="228">
        <f>[1]Планки!H55</f>
        <v>51</v>
      </c>
      <c r="M55" s="138">
        <f>[1]Планки!I55</f>
        <v>805</v>
      </c>
      <c r="N55" s="138">
        <f>[1]Планки!J55</f>
        <v>105</v>
      </c>
      <c r="O55" s="229">
        <f>[1]Планки!K55</f>
        <v>700</v>
      </c>
      <c r="P55" s="229">
        <f>[1]Планки!L55</f>
        <v>165</v>
      </c>
      <c r="Q55" s="138">
        <f>[1]Планки!M55</f>
        <v>180</v>
      </c>
      <c r="R55" s="138">
        <f>[1]Планки!N55</f>
        <v>200</v>
      </c>
      <c r="S55" s="229">
        <f>[1]Планки!O55</f>
        <v>29</v>
      </c>
      <c r="T55" s="138">
        <f>[1]Планки!P55</f>
        <v>35</v>
      </c>
      <c r="U55" s="138">
        <f>[1]Планки!Q55</f>
        <v>80</v>
      </c>
      <c r="V55" s="230">
        <f>[1]Планки!R55</f>
        <v>0</v>
      </c>
      <c r="AB55" s="220"/>
      <c r="AC55" s="220">
        <f>'[2]Изложницы без бурта'!A55</f>
        <v>0</v>
      </c>
      <c r="AD55" s="220">
        <f>'[2]Изложницы без бурта'!B55</f>
        <v>77.5</v>
      </c>
      <c r="AE55" s="220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6">
        <v>370</v>
      </c>
      <c r="AS55" s="377">
        <v>237.5</v>
      </c>
      <c r="AT55" s="368">
        <v>200</v>
      </c>
      <c r="AU55" s="368">
        <v>135</v>
      </c>
      <c r="AV55" s="368">
        <v>415</v>
      </c>
      <c r="AW55" s="368">
        <v>450</v>
      </c>
      <c r="AX55" s="393" t="s">
        <v>534</v>
      </c>
    </row>
    <row r="56" spans="1:50" ht="14.4" x14ac:dyDescent="0.25">
      <c r="L56" s="228">
        <f>[1]Планки!H56</f>
        <v>43</v>
      </c>
      <c r="M56" s="138">
        <f>[1]Планки!I56</f>
        <v>850</v>
      </c>
      <c r="N56" s="138">
        <f>[1]Планки!J56</f>
        <v>150</v>
      </c>
      <c r="O56" s="229">
        <f>[1]Планки!K56</f>
        <v>700</v>
      </c>
      <c r="P56" s="229">
        <f>[1]Планки!L56</f>
        <v>363</v>
      </c>
      <c r="Q56" s="138">
        <f>[1]Планки!M56</f>
        <v>385</v>
      </c>
      <c r="R56" s="138">
        <f>[1]Планки!N56</f>
        <v>410</v>
      </c>
      <c r="S56" s="229">
        <f>[1]Планки!O56</f>
        <v>32</v>
      </c>
      <c r="T56" s="138">
        <f>[1]Планки!P56</f>
        <v>45</v>
      </c>
      <c r="U56" s="138">
        <f>[1]Планки!Q56</f>
        <v>100</v>
      </c>
      <c r="V56" s="230">
        <f>[1]Планки!R56</f>
        <v>0</v>
      </c>
      <c r="AB56" s="220"/>
      <c r="AC56" s="220">
        <f>'[2]Изложницы без бурта'!A56</f>
        <v>0</v>
      </c>
      <c r="AD56" s="220">
        <f>'[2]Изложницы без бурта'!B56</f>
        <v>80</v>
      </c>
      <c r="AE56" s="220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7">
        <v>290</v>
      </c>
      <c r="AS56" s="368">
        <v>240</v>
      </c>
      <c r="AT56" s="368">
        <v>260</v>
      </c>
      <c r="AU56" s="368">
        <v>205</v>
      </c>
      <c r="AV56" s="368">
        <v>375</v>
      </c>
      <c r="AW56" s="368">
        <v>450</v>
      </c>
      <c r="AX56" s="393" t="s">
        <v>535</v>
      </c>
    </row>
    <row r="57" spans="1:50" ht="14.4" x14ac:dyDescent="0.25">
      <c r="A57" s="255" t="s">
        <v>123</v>
      </c>
      <c r="B57" s="256" t="s">
        <v>175</v>
      </c>
      <c r="C57" s="1735" t="s">
        <v>176</v>
      </c>
      <c r="D57" s="1735"/>
      <c r="E57" s="1735"/>
      <c r="F57" s="250"/>
      <c r="G57" s="250" t="s">
        <v>150</v>
      </c>
      <c r="H57" s="249"/>
      <c r="I57" s="249"/>
      <c r="L57" s="228">
        <f>[1]Планки!H57</f>
        <v>31</v>
      </c>
      <c r="M57" s="138">
        <f>[1]Планки!I57</f>
        <v>880</v>
      </c>
      <c r="N57" s="138">
        <f>[1]Планки!J57</f>
        <v>165</v>
      </c>
      <c r="O57" s="229">
        <f>[1]Планки!K57</f>
        <v>715</v>
      </c>
      <c r="P57" s="229">
        <f>[1]Планки!L57</f>
        <v>295</v>
      </c>
      <c r="Q57" s="138">
        <f>[1]Планки!M57</f>
        <v>315</v>
      </c>
      <c r="R57" s="138">
        <f>[1]Планки!N57</f>
        <v>355</v>
      </c>
      <c r="S57" s="229">
        <f>[1]Планки!O57</f>
        <v>55</v>
      </c>
      <c r="T57" s="138">
        <f>[1]Планки!P57</f>
        <v>70</v>
      </c>
      <c r="U57" s="138">
        <f>[1]Планки!Q57</f>
        <v>135</v>
      </c>
      <c r="V57" s="230" t="str">
        <f>[1]Планки!R57</f>
        <v>модель нашита  (L4=38 L5=53 L6=118)</v>
      </c>
      <c r="AB57" s="220"/>
      <c r="AC57" s="220">
        <f>'[2]Изложницы без бурта'!A57</f>
        <v>0</v>
      </c>
      <c r="AD57" s="220">
        <f>'[2]Изложницы без бурта'!B57</f>
        <v>80</v>
      </c>
      <c r="AE57" s="220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8">
        <v>290</v>
      </c>
      <c r="AS57" s="368">
        <v>240</v>
      </c>
      <c r="AT57" s="368">
        <v>260</v>
      </c>
      <c r="AU57" s="368">
        <v>205</v>
      </c>
      <c r="AV57" s="368">
        <v>375</v>
      </c>
      <c r="AW57" s="368">
        <v>450</v>
      </c>
      <c r="AX57" s="393" t="s">
        <v>535</v>
      </c>
    </row>
    <row r="58" spans="1:50" ht="14.4" x14ac:dyDescent="0.25">
      <c r="A58" s="252"/>
      <c r="B58" s="256" t="s">
        <v>177</v>
      </c>
      <c r="C58" s="249" t="s">
        <v>151</v>
      </c>
      <c r="D58" s="249" t="s">
        <v>152</v>
      </c>
      <c r="E58" s="249" t="s">
        <v>153</v>
      </c>
      <c r="F58" s="250" t="s">
        <v>178</v>
      </c>
      <c r="G58" s="250" t="s">
        <v>179</v>
      </c>
      <c r="H58" s="251" t="s">
        <v>180</v>
      </c>
      <c r="I58" s="251" t="s">
        <v>181</v>
      </c>
      <c r="L58" s="228">
        <f>[1]Планки!H58</f>
        <v>91</v>
      </c>
      <c r="M58" s="138">
        <f>[1]Планки!I58</f>
        <v>895</v>
      </c>
      <c r="N58" s="138">
        <f>[1]Планки!J58</f>
        <v>175</v>
      </c>
      <c r="O58" s="229">
        <f>[1]Планки!K58</f>
        <v>720</v>
      </c>
      <c r="P58" s="229">
        <f>[1]Планки!L58</f>
        <v>180</v>
      </c>
      <c r="Q58" s="138">
        <f>[1]Планки!M58</f>
        <v>234</v>
      </c>
      <c r="R58" s="138">
        <f>[1]Планки!N58</f>
        <v>270</v>
      </c>
      <c r="S58" s="229">
        <f>[1]Планки!O58</f>
        <v>45</v>
      </c>
      <c r="T58" s="138">
        <f>[1]Планки!P58</f>
        <v>60</v>
      </c>
      <c r="U58" s="138">
        <f>[1]Планки!Q58</f>
        <v>125</v>
      </c>
      <c r="V58" s="230" t="str">
        <f>[1]Планки!R58</f>
        <v>модель нашита  (L4=40 L5=55 L6=120)</v>
      </c>
      <c r="AB58" s="220"/>
      <c r="AC58" s="220">
        <f>'[2]Изложницы без бурта'!A58</f>
        <v>0</v>
      </c>
      <c r="AD58" s="220">
        <f>'[2]Изложницы без бурта'!B58</f>
        <v>80</v>
      </c>
      <c r="AE58" s="220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8">
        <v>281</v>
      </c>
      <c r="AS58" s="368">
        <v>242.5</v>
      </c>
      <c r="AT58" s="368">
        <v>260</v>
      </c>
      <c r="AU58" s="368">
        <v>200</v>
      </c>
      <c r="AV58" s="368">
        <v>375</v>
      </c>
      <c r="AW58" s="368">
        <v>450</v>
      </c>
      <c r="AX58" s="393" t="s">
        <v>505</v>
      </c>
    </row>
    <row r="59" spans="1:50" ht="14.4" x14ac:dyDescent="0.25">
      <c r="A59" s="255"/>
      <c r="L59" s="228">
        <f>[1]Планки!H59</f>
        <v>107</v>
      </c>
      <c r="M59" s="138">
        <f>[1]Планки!I59</f>
        <v>880</v>
      </c>
      <c r="N59" s="138">
        <f>[1]Планки!J59</f>
        <v>150</v>
      </c>
      <c r="O59" s="229">
        <f>[1]Планки!K59</f>
        <v>730</v>
      </c>
      <c r="P59" s="229">
        <f>[1]Планки!L59</f>
        <v>210</v>
      </c>
      <c r="Q59" s="138">
        <f>[1]Планки!M59</f>
        <v>225</v>
      </c>
      <c r="R59" s="138">
        <f>[1]Планки!N59</f>
        <v>260</v>
      </c>
      <c r="S59" s="229">
        <f>[1]Планки!O59</f>
        <v>31</v>
      </c>
      <c r="T59" s="138">
        <f>[1]Планки!P59</f>
        <v>44</v>
      </c>
      <c r="U59" s="138">
        <f>[1]Планки!Q59</f>
        <v>110</v>
      </c>
      <c r="V59" s="230">
        <f>[1]Планки!R59</f>
        <v>0</v>
      </c>
      <c r="AB59" s="220"/>
      <c r="AC59" s="220">
        <f>'[2]Изложницы без бурта'!A59</f>
        <v>0</v>
      </c>
      <c r="AD59" s="220">
        <f>'[2]Изложницы без бурта'!B59</f>
        <v>80</v>
      </c>
      <c r="AE59" s="220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8">
        <v>279</v>
      </c>
      <c r="AS59" s="368">
        <v>245</v>
      </c>
      <c r="AT59" s="368">
        <v>260</v>
      </c>
      <c r="AU59" s="368">
        <v>210</v>
      </c>
      <c r="AV59" s="368">
        <v>375</v>
      </c>
      <c r="AW59" s="368">
        <v>450</v>
      </c>
      <c r="AX59" s="393" t="s">
        <v>505</v>
      </c>
    </row>
    <row r="60" spans="1:50" ht="14.4" x14ac:dyDescent="0.25">
      <c r="A60" s="255" t="s">
        <v>182</v>
      </c>
      <c r="B60" s="246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8">
        <f>[1]Планки!H60</f>
        <v>54</v>
      </c>
      <c r="M60" s="138">
        <f>[1]Планки!I60</f>
        <v>900</v>
      </c>
      <c r="N60" s="138">
        <f>[1]Планки!J60</f>
        <v>165</v>
      </c>
      <c r="O60" s="229">
        <f>[1]Планки!K60</f>
        <v>735</v>
      </c>
      <c r="P60" s="229">
        <f>[1]Планки!L60</f>
        <v>235</v>
      </c>
      <c r="Q60" s="138">
        <f>[1]Планки!M60</f>
        <v>250</v>
      </c>
      <c r="R60" s="138">
        <f>[1]Планки!N60</f>
        <v>305</v>
      </c>
      <c r="S60" s="229">
        <f>[1]Планки!O60</f>
        <v>130</v>
      </c>
      <c r="T60" s="138">
        <f>[1]Планки!P60</f>
        <v>140</v>
      </c>
      <c r="U60" s="138">
        <f>[1]Планки!Q60</f>
        <v>215</v>
      </c>
      <c r="V60" s="230" t="str">
        <f>[1]Планки!R60</f>
        <v>модель нашита  (L4=40 L5=52 L6=120)</v>
      </c>
      <c r="AB60" s="220"/>
      <c r="AC60" s="220">
        <f>'[2]Изложницы без бурта'!A60</f>
        <v>0</v>
      </c>
      <c r="AD60" s="220">
        <f>'[2]Изложницы без бурта'!B60</f>
        <v>80</v>
      </c>
      <c r="AE60" s="220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8">
        <v>279</v>
      </c>
      <c r="AS60" s="368">
        <v>245</v>
      </c>
      <c r="AT60" s="368">
        <v>260</v>
      </c>
      <c r="AU60" s="368">
        <v>210</v>
      </c>
      <c r="AV60" s="368">
        <v>375</v>
      </c>
      <c r="AW60" s="368">
        <v>450</v>
      </c>
      <c r="AX60" s="393" t="s">
        <v>505</v>
      </c>
    </row>
    <row r="61" spans="1:50" ht="14.4" x14ac:dyDescent="0.25">
      <c r="A61" s="255" t="s">
        <v>183</v>
      </c>
      <c r="B61" s="246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8">
        <f>[1]Планки!H61</f>
        <v>47</v>
      </c>
      <c r="M61" s="138">
        <f>[1]Планки!I61</f>
        <v>940</v>
      </c>
      <c r="N61" s="138">
        <f>[1]Планки!J61</f>
        <v>200</v>
      </c>
      <c r="O61" s="229">
        <f>[1]Планки!K61</f>
        <v>740</v>
      </c>
      <c r="P61" s="229">
        <f>[1]Планки!L61</f>
        <v>200</v>
      </c>
      <c r="Q61" s="138">
        <f>[1]Планки!M61</f>
        <v>215</v>
      </c>
      <c r="R61" s="138">
        <f>[1]Планки!N61</f>
        <v>267</v>
      </c>
      <c r="S61" s="229">
        <f>[1]Планки!O61</f>
        <v>46</v>
      </c>
      <c r="T61" s="138">
        <f>[1]Планки!P61</f>
        <v>55</v>
      </c>
      <c r="U61" s="138">
        <f>[1]Планки!Q61</f>
        <v>140</v>
      </c>
      <c r="V61" s="230">
        <f>[1]Планки!R61</f>
        <v>0</v>
      </c>
      <c r="AB61" s="220"/>
      <c r="AC61" s="220">
        <f>'[2]Изложницы без бурта'!A61</f>
        <v>0</v>
      </c>
      <c r="AD61" s="220">
        <f>'[2]Изложницы без бурта'!B61</f>
        <v>80</v>
      </c>
      <c r="AE61" s="220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8">
        <v>280</v>
      </c>
      <c r="AS61" s="368">
        <v>245</v>
      </c>
      <c r="AT61" s="368">
        <v>260</v>
      </c>
      <c r="AU61" s="368">
        <v>205</v>
      </c>
      <c r="AV61" s="368">
        <v>375</v>
      </c>
      <c r="AW61" s="368">
        <v>450</v>
      </c>
      <c r="AX61" s="393" t="s">
        <v>505</v>
      </c>
    </row>
    <row r="62" spans="1:50" ht="14.4" x14ac:dyDescent="0.25">
      <c r="A62" s="255" t="s">
        <v>184</v>
      </c>
      <c r="B62" s="246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8">
        <f>[1]Планки!H62</f>
        <v>62</v>
      </c>
      <c r="M62" s="138">
        <f>[1]Планки!I62</f>
        <v>910</v>
      </c>
      <c r="N62" s="138">
        <f>[1]Планки!J62</f>
        <v>170</v>
      </c>
      <c r="O62" s="229">
        <f>[1]Планки!K62</f>
        <v>740</v>
      </c>
      <c r="P62" s="229">
        <f>[1]Планки!L62</f>
        <v>237</v>
      </c>
      <c r="Q62" s="138">
        <f>[1]Планки!M62</f>
        <v>245</v>
      </c>
      <c r="R62" s="138">
        <f>[1]Планки!N62</f>
        <v>295</v>
      </c>
      <c r="S62" s="229">
        <f>[1]Планки!O62</f>
        <v>47</v>
      </c>
      <c r="T62" s="138">
        <f>[1]Планки!P62</f>
        <v>52</v>
      </c>
      <c r="U62" s="138">
        <f>[1]Планки!Q62</f>
        <v>120</v>
      </c>
      <c r="V62" s="230" t="str">
        <f>[1]Планки!R62</f>
        <v>модель нашита  (L4=37 L5=42 L6=110)</v>
      </c>
      <c r="AB62" s="220"/>
      <c r="AC62" s="220">
        <f>'[2]Изложницы без бурта'!A62</f>
        <v>0</v>
      </c>
      <c r="AD62" s="220">
        <f>'[2]Изложницы без бурта'!B62</f>
        <v>80</v>
      </c>
      <c r="AE62" s="220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8">
        <v>345</v>
      </c>
      <c r="AS62" s="369">
        <v>245</v>
      </c>
      <c r="AT62" s="368">
        <v>260</v>
      </c>
      <c r="AU62" s="368">
        <v>190</v>
      </c>
      <c r="AV62" s="368">
        <v>375</v>
      </c>
      <c r="AW62" s="368">
        <v>450</v>
      </c>
      <c r="AX62" s="393" t="s">
        <v>505</v>
      </c>
    </row>
    <row r="63" spans="1:50" ht="14.4" x14ac:dyDescent="0.25">
      <c r="A63" s="255" t="s">
        <v>185</v>
      </c>
      <c r="B63" s="246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8">
        <f>[1]Планки!H63</f>
        <v>120</v>
      </c>
      <c r="M63" s="138">
        <f>[1]Планки!I63</f>
        <v>940</v>
      </c>
      <c r="N63" s="138">
        <f>[1]Планки!J63</f>
        <v>200</v>
      </c>
      <c r="O63" s="229">
        <f>[1]Планки!K63</f>
        <v>740</v>
      </c>
      <c r="P63" s="229">
        <f>[1]Планки!L63</f>
        <v>340</v>
      </c>
      <c r="Q63" s="138">
        <f>[1]Планки!M63</f>
        <v>355</v>
      </c>
      <c r="R63" s="138">
        <f>[1]Планки!N63</f>
        <v>395</v>
      </c>
      <c r="S63" s="229">
        <f>[1]Планки!O63</f>
        <v>50</v>
      </c>
      <c r="T63" s="138">
        <f>[1]Планки!P63</f>
        <v>60</v>
      </c>
      <c r="U63" s="138">
        <f>[1]Планки!Q63</f>
        <v>135</v>
      </c>
      <c r="V63" s="230">
        <f>[1]Планки!R63</f>
        <v>0</v>
      </c>
      <c r="AB63" s="220"/>
      <c r="AC63" s="220">
        <f>'[2]Изложницы без бурта'!A63</f>
        <v>0</v>
      </c>
      <c r="AD63" s="220">
        <f>'[2]Изложницы без бурта'!B63</f>
        <v>80</v>
      </c>
      <c r="AE63" s="220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5">
        <v>281</v>
      </c>
      <c r="AS63" s="386">
        <v>250</v>
      </c>
      <c r="AT63" s="377">
        <v>260</v>
      </c>
      <c r="AU63" s="368">
        <v>210</v>
      </c>
      <c r="AV63" s="368">
        <v>375</v>
      </c>
      <c r="AW63" s="368">
        <v>450</v>
      </c>
      <c r="AX63" s="393" t="s">
        <v>506</v>
      </c>
    </row>
    <row r="64" spans="1:50" ht="14.4" x14ac:dyDescent="0.25">
      <c r="A64" s="255" t="s">
        <v>186</v>
      </c>
      <c r="B64" s="246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8">
        <f>[1]Планки!H64</f>
        <v>15</v>
      </c>
      <c r="M64" s="138">
        <f>[1]Планки!I64</f>
        <v>925</v>
      </c>
      <c r="N64" s="138">
        <f>[1]Планки!J64</f>
        <v>180</v>
      </c>
      <c r="O64" s="229">
        <f>[1]Планки!K64</f>
        <v>745</v>
      </c>
      <c r="P64" s="229">
        <f>[1]Планки!L64</f>
        <v>360</v>
      </c>
      <c r="Q64" s="138">
        <f>[1]Планки!M64</f>
        <v>380</v>
      </c>
      <c r="R64" s="138">
        <f>[1]Планки!N64</f>
        <v>405</v>
      </c>
      <c r="S64" s="229">
        <f>[1]Планки!O64</f>
        <v>85</v>
      </c>
      <c r="T64" s="138">
        <f>[1]Планки!P64</f>
        <v>98</v>
      </c>
      <c r="U64" s="138">
        <f>[1]Планки!Q64</f>
        <v>160</v>
      </c>
      <c r="V64" s="230" t="str">
        <f>[1]Планки!R64</f>
        <v>модель нашита  (L4=37 L5=47 L6=115)</v>
      </c>
      <c r="AB64" s="220"/>
      <c r="AC64" s="220">
        <f>'[2]Изложницы без бурта'!A64</f>
        <v>0</v>
      </c>
      <c r="AD64" s="220">
        <f>'[2]Изложницы без бурта'!B64</f>
        <v>80</v>
      </c>
      <c r="AE64" s="220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8">
        <v>280</v>
      </c>
      <c r="AS64" s="367">
        <v>250</v>
      </c>
      <c r="AT64" s="368">
        <v>320</v>
      </c>
      <c r="AU64" s="368">
        <v>265</v>
      </c>
      <c r="AV64" s="368">
        <v>375</v>
      </c>
      <c r="AW64" s="368">
        <v>450</v>
      </c>
      <c r="AX64" s="393" t="s">
        <v>536</v>
      </c>
    </row>
    <row r="65" spans="1:50" ht="14.4" x14ac:dyDescent="0.25">
      <c r="A65" s="255" t="s">
        <v>212</v>
      </c>
      <c r="B65" s="246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8">
        <f>[1]Планки!H65</f>
        <v>17</v>
      </c>
      <c r="M65" s="138">
        <f>[1]Планки!I65</f>
        <v>925</v>
      </c>
      <c r="N65" s="138">
        <f>[1]Планки!J65</f>
        <v>180</v>
      </c>
      <c r="O65" s="229">
        <f>[1]Планки!K65</f>
        <v>745</v>
      </c>
      <c r="P65" s="229">
        <f>[1]Планки!L65</f>
        <v>540</v>
      </c>
      <c r="Q65" s="138">
        <f>[1]Планки!M65</f>
        <v>555</v>
      </c>
      <c r="R65" s="138">
        <f>[1]Планки!N65</f>
        <v>595</v>
      </c>
      <c r="S65" s="229">
        <f>[1]Планки!O65</f>
        <v>37</v>
      </c>
      <c r="T65" s="138">
        <f>[1]Планки!P65</f>
        <v>48</v>
      </c>
      <c r="U65" s="138">
        <f>[1]Планки!Q65</f>
        <v>110</v>
      </c>
      <c r="V65" s="230">
        <f>[1]Планки!R65</f>
        <v>0</v>
      </c>
      <c r="AB65" s="220"/>
      <c r="AC65" s="220">
        <f>'[2]Изложницы без бурта'!A65</f>
        <v>0</v>
      </c>
      <c r="AD65" s="220">
        <f>'[2]Изложницы без бурта'!B65</f>
        <v>80</v>
      </c>
      <c r="AE65" s="220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8">
        <v>282</v>
      </c>
      <c r="AS65" s="368">
        <v>252.5</v>
      </c>
      <c r="AT65" s="368">
        <v>320</v>
      </c>
      <c r="AU65" s="368">
        <v>260</v>
      </c>
      <c r="AV65" s="368">
        <v>375</v>
      </c>
      <c r="AW65" s="368">
        <v>450</v>
      </c>
      <c r="AX65" s="393" t="s">
        <v>507</v>
      </c>
    </row>
    <row r="66" spans="1:50" ht="14.4" x14ac:dyDescent="0.25">
      <c r="A66" s="255" t="s">
        <v>213</v>
      </c>
      <c r="B66" s="246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8">
        <f>[1]Планки!H66</f>
        <v>103</v>
      </c>
      <c r="M66" s="138">
        <f>[1]Планки!I66</f>
        <v>880</v>
      </c>
      <c r="N66" s="138">
        <f>[1]Планки!J66</f>
        <v>130</v>
      </c>
      <c r="O66" s="229">
        <f>[1]Планки!K66</f>
        <v>750</v>
      </c>
      <c r="P66" s="229">
        <f>[1]Планки!L66</f>
        <v>315</v>
      </c>
      <c r="Q66" s="138">
        <f>[1]Планки!M66</f>
        <v>330</v>
      </c>
      <c r="R66" s="138">
        <f>[1]Планки!N66</f>
        <v>365</v>
      </c>
      <c r="S66" s="229">
        <f>[1]Планки!O66</f>
        <v>57</v>
      </c>
      <c r="T66" s="138">
        <f>[1]Планки!P66</f>
        <v>68</v>
      </c>
      <c r="U66" s="138">
        <f>[1]Планки!Q66</f>
        <v>115</v>
      </c>
      <c r="V66" s="230" t="str">
        <f>[1]Планки!R66</f>
        <v>модель нашита  (L4=29 L5=37 L6=85)</v>
      </c>
      <c r="AB66" s="220"/>
      <c r="AC66" s="220">
        <f>'[2]Изложницы без бурта'!A66</f>
        <v>0</v>
      </c>
      <c r="AD66" s="220">
        <f>'[2]Изложницы без бурта'!B66</f>
        <v>80</v>
      </c>
      <c r="AE66" s="220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8">
        <v>298</v>
      </c>
      <c r="AS66" s="368">
        <v>252.5</v>
      </c>
      <c r="AT66" s="368">
        <v>318</v>
      </c>
      <c r="AU66" s="368">
        <v>197</v>
      </c>
      <c r="AV66" s="368">
        <v>375</v>
      </c>
      <c r="AW66" s="368">
        <v>450</v>
      </c>
      <c r="AX66" s="393" t="s">
        <v>507</v>
      </c>
    </row>
    <row r="67" spans="1:50" ht="14.4" x14ac:dyDescent="0.25">
      <c r="L67" s="228">
        <f>[1]Планки!H67</f>
        <v>38</v>
      </c>
      <c r="M67" s="138">
        <f>[1]Планки!I67</f>
        <v>950</v>
      </c>
      <c r="N67" s="138">
        <f>[1]Планки!J67</f>
        <v>195</v>
      </c>
      <c r="O67" s="229">
        <f>[1]Планки!K67</f>
        <v>755</v>
      </c>
      <c r="P67" s="229">
        <f>[1]Планки!L67</f>
        <v>345</v>
      </c>
      <c r="Q67" s="138">
        <f>[1]Планки!M67</f>
        <v>355</v>
      </c>
      <c r="R67" s="138">
        <f>[1]Планки!N67</f>
        <v>440</v>
      </c>
      <c r="S67" s="229">
        <f>[1]Планки!O67</f>
        <v>50</v>
      </c>
      <c r="T67" s="138">
        <f>[1]Планки!P67</f>
        <v>60</v>
      </c>
      <c r="U67" s="138">
        <f>[1]Планки!Q67</f>
        <v>100</v>
      </c>
      <c r="V67" s="230">
        <f>[1]Планки!R67</f>
        <v>0</v>
      </c>
      <c r="AB67" s="220"/>
      <c r="AC67" s="220">
        <f>'[2]Изложницы без бурта'!A67</f>
        <v>0</v>
      </c>
      <c r="AD67" s="220">
        <f>'[2]Изложницы без бурта'!B67</f>
        <v>80</v>
      </c>
      <c r="AE67" s="220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8">
        <v>297</v>
      </c>
      <c r="AS67" s="368">
        <v>260</v>
      </c>
      <c r="AT67" s="368">
        <v>315</v>
      </c>
      <c r="AU67" s="368">
        <v>190</v>
      </c>
      <c r="AV67" s="368">
        <v>375</v>
      </c>
      <c r="AW67" s="368">
        <v>450</v>
      </c>
      <c r="AX67" s="393" t="s">
        <v>508</v>
      </c>
    </row>
    <row r="68" spans="1:50" ht="15" thickBot="1" x14ac:dyDescent="0.3">
      <c r="L68" s="228">
        <f>[1]Планки!H68</f>
        <v>72</v>
      </c>
      <c r="M68" s="138">
        <f>[1]Планки!I68</f>
        <v>920</v>
      </c>
      <c r="N68" s="138">
        <f>[1]Планки!J68</f>
        <v>160</v>
      </c>
      <c r="O68" s="229">
        <f>[1]Планки!K68</f>
        <v>760</v>
      </c>
      <c r="P68" s="229">
        <f>[1]Планки!L68</f>
        <v>467</v>
      </c>
      <c r="Q68" s="138">
        <f>[1]Планки!M68</f>
        <v>488</v>
      </c>
      <c r="R68" s="138">
        <f>[1]Планки!N68</f>
        <v>525</v>
      </c>
      <c r="S68" s="229">
        <f>[1]Планки!O68</f>
        <v>46</v>
      </c>
      <c r="T68" s="138">
        <f>[1]Планки!P68</f>
        <v>60</v>
      </c>
      <c r="U68" s="138">
        <f>[1]Планки!Q68</f>
        <v>130</v>
      </c>
      <c r="V68" s="230" t="str">
        <f>[1]Планки!R68</f>
        <v>модель нашита  (L4=34 L5=48 L6=118)</v>
      </c>
      <c r="AB68" s="220"/>
      <c r="AC68" s="220">
        <f>'[2]Изложницы без бурта'!A68</f>
        <v>0</v>
      </c>
      <c r="AD68" s="220">
        <f>'[2]Изложницы без бурта'!B68</f>
        <v>80</v>
      </c>
      <c r="AE68" s="220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8">
        <v>328</v>
      </c>
      <c r="AS68" s="368">
        <v>260</v>
      </c>
      <c r="AT68" s="369">
        <v>375</v>
      </c>
      <c r="AU68" s="368">
        <v>340</v>
      </c>
      <c r="AV68" s="368">
        <v>375</v>
      </c>
      <c r="AW68" s="368">
        <v>450</v>
      </c>
      <c r="AX68" s="393" t="s">
        <v>537</v>
      </c>
    </row>
    <row r="69" spans="1:50" ht="15" thickBot="1" x14ac:dyDescent="0.3">
      <c r="L69" s="228">
        <f>[1]Планки!H69</f>
        <v>33</v>
      </c>
      <c r="M69" s="138">
        <f>[1]Планки!I69</f>
        <v>980</v>
      </c>
      <c r="N69" s="138">
        <f>[1]Планки!J69</f>
        <v>215</v>
      </c>
      <c r="O69" s="229">
        <f>[1]Планки!K69</f>
        <v>765</v>
      </c>
      <c r="P69" s="229">
        <f>[1]Планки!L69</f>
        <v>300</v>
      </c>
      <c r="Q69" s="138">
        <f>[1]Планки!M69</f>
        <v>325</v>
      </c>
      <c r="R69" s="138">
        <f>[1]Планки!N69</f>
        <v>375</v>
      </c>
      <c r="S69" s="229">
        <f>[1]Планки!O69</f>
        <v>55</v>
      </c>
      <c r="T69" s="138">
        <f>[1]Планки!P69</f>
        <v>66</v>
      </c>
      <c r="U69" s="138">
        <f>[1]Планки!Q69</f>
        <v>165</v>
      </c>
      <c r="V69" s="230">
        <f>[1]Планки!R69</f>
        <v>0</v>
      </c>
      <c r="AB69" s="220"/>
      <c r="AC69" s="220">
        <f>'[2]Изложницы без бурта'!A69</f>
        <v>0</v>
      </c>
      <c r="AD69" s="220">
        <f>'[2]Изложницы без бурта'!B69</f>
        <v>82.5</v>
      </c>
      <c r="AE69" s="220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8">
        <v>382</v>
      </c>
      <c r="AS69" s="375">
        <v>260</v>
      </c>
      <c r="AT69" s="376">
        <v>200</v>
      </c>
      <c r="AU69" s="377">
        <v>100</v>
      </c>
      <c r="AV69" s="368">
        <v>450</v>
      </c>
      <c r="AW69" s="368">
        <v>450</v>
      </c>
      <c r="AX69" s="393" t="s">
        <v>538</v>
      </c>
    </row>
    <row r="70" spans="1:50" ht="15" thickBot="1" x14ac:dyDescent="0.3">
      <c r="L70" s="228">
        <f>[1]Планки!H70</f>
        <v>34</v>
      </c>
      <c r="M70" s="138">
        <f>[1]Планки!I70</f>
        <v>950</v>
      </c>
      <c r="N70" s="138">
        <f>[1]Планки!J70</f>
        <v>185</v>
      </c>
      <c r="O70" s="229">
        <f>[1]Планки!K70</f>
        <v>765</v>
      </c>
      <c r="P70" s="229">
        <f>[1]Планки!L70</f>
        <v>355</v>
      </c>
      <c r="Q70" s="138">
        <f>[1]Планки!M70</f>
        <v>365</v>
      </c>
      <c r="R70" s="138">
        <f>[1]Планки!N70</f>
        <v>405</v>
      </c>
      <c r="S70" s="229">
        <f>[1]Планки!O70</f>
        <v>45</v>
      </c>
      <c r="T70" s="138">
        <f>[1]Планки!P70</f>
        <v>54</v>
      </c>
      <c r="U70" s="138">
        <f>[1]Планки!Q70</f>
        <v>135</v>
      </c>
      <c r="V70" s="230">
        <f>[1]Планки!R70</f>
        <v>0</v>
      </c>
      <c r="AB70" s="220"/>
      <c r="AC70" s="220">
        <f>'[2]Изложницы без бурта'!A70</f>
        <v>0</v>
      </c>
      <c r="AD70" s="220">
        <f>'[2]Изложницы без бурта'!B70</f>
        <v>82.5</v>
      </c>
      <c r="AE70" s="220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8">
        <v>382</v>
      </c>
      <c r="AS70" s="375">
        <v>260</v>
      </c>
      <c r="AT70" s="376">
        <v>200</v>
      </c>
      <c r="AU70" s="381">
        <v>105</v>
      </c>
      <c r="AV70" s="368">
        <v>450</v>
      </c>
      <c r="AW70" s="368">
        <v>450</v>
      </c>
      <c r="AX70" s="393" t="s">
        <v>538</v>
      </c>
    </row>
    <row r="71" spans="1:50" ht="15" thickBot="1" x14ac:dyDescent="0.3">
      <c r="A71" s="252" t="s">
        <v>133</v>
      </c>
      <c r="B71" s="256" t="s">
        <v>175</v>
      </c>
      <c r="C71" s="1735" t="s">
        <v>176</v>
      </c>
      <c r="D71" s="1735"/>
      <c r="E71" s="1735"/>
      <c r="F71" s="250"/>
      <c r="G71" s="250" t="s">
        <v>150</v>
      </c>
      <c r="H71" s="249"/>
      <c r="I71" s="249"/>
      <c r="J71" s="250" t="s">
        <v>187</v>
      </c>
      <c r="K71" s="250"/>
      <c r="L71" s="228">
        <f>[1]Планки!H71</f>
        <v>114</v>
      </c>
      <c r="M71" s="138">
        <f>[1]Планки!I71</f>
        <v>930</v>
      </c>
      <c r="N71" s="138">
        <f>[1]Планки!J71</f>
        <v>150</v>
      </c>
      <c r="O71" s="229">
        <f>[1]Планки!K71</f>
        <v>780</v>
      </c>
      <c r="P71" s="229">
        <f>[1]Планки!L71</f>
        <v>160</v>
      </c>
      <c r="Q71" s="138">
        <f>[1]Планки!M71</f>
        <v>175</v>
      </c>
      <c r="R71" s="138">
        <f>[1]Планки!N71</f>
        <v>240</v>
      </c>
      <c r="S71" s="229">
        <f>[1]Планки!O71</f>
        <v>85</v>
      </c>
      <c r="T71" s="138">
        <f>[1]Планки!P71</f>
        <v>95</v>
      </c>
      <c r="U71" s="138">
        <f>[1]Планки!Q71</f>
        <v>150</v>
      </c>
      <c r="V71" s="230" t="str">
        <f>[1]Планки!R71</f>
        <v>модель нашита  (L4=35 L5=42 L6=110)</v>
      </c>
      <c r="AB71" s="220"/>
      <c r="AC71" s="220">
        <f>'[2]Изложницы без бурта'!A71</f>
        <v>0</v>
      </c>
      <c r="AD71" s="220">
        <f>'[2]Изложницы без бурта'!B71</f>
        <v>82.5</v>
      </c>
      <c r="AE71" s="220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8">
        <v>330</v>
      </c>
      <c r="AS71" s="368">
        <v>260</v>
      </c>
      <c r="AT71" s="379">
        <v>380</v>
      </c>
      <c r="AU71" s="376">
        <v>315</v>
      </c>
      <c r="AV71" s="368">
        <v>375</v>
      </c>
      <c r="AW71" s="368">
        <v>450</v>
      </c>
      <c r="AX71" s="393" t="s">
        <v>537</v>
      </c>
    </row>
    <row r="72" spans="1:50" ht="15" thickBot="1" x14ac:dyDescent="0.3">
      <c r="A72" s="257"/>
      <c r="B72" s="256" t="s">
        <v>177</v>
      </c>
      <c r="C72" s="249" t="s">
        <v>151</v>
      </c>
      <c r="D72" s="249" t="s">
        <v>152</v>
      </c>
      <c r="E72" s="249" t="s">
        <v>153</v>
      </c>
      <c r="F72" s="250" t="s">
        <v>178</v>
      </c>
      <c r="G72" s="250" t="s">
        <v>179</v>
      </c>
      <c r="H72" s="251" t="s">
        <v>180</v>
      </c>
      <c r="I72" s="251" t="s">
        <v>181</v>
      </c>
      <c r="J72" s="250" t="s">
        <v>188</v>
      </c>
      <c r="K72" s="251" t="s">
        <v>189</v>
      </c>
      <c r="L72" s="228">
        <f>[1]Планки!H72</f>
        <v>90</v>
      </c>
      <c r="M72" s="138">
        <f>[1]Планки!I72</f>
        <v>915</v>
      </c>
      <c r="N72" s="138">
        <f>[1]Планки!J72</f>
        <v>130</v>
      </c>
      <c r="O72" s="229">
        <f>[1]Планки!K72</f>
        <v>785</v>
      </c>
      <c r="P72" s="229">
        <f>[1]Планки!L72</f>
        <v>210</v>
      </c>
      <c r="Q72" s="138">
        <f>[1]Планки!M72</f>
        <v>230</v>
      </c>
      <c r="R72" s="138">
        <f>[1]Планки!N72</f>
        <v>260</v>
      </c>
      <c r="S72" s="229">
        <f>[1]Планки!O72</f>
        <v>30</v>
      </c>
      <c r="T72" s="138">
        <f>[1]Планки!P72</f>
        <v>40</v>
      </c>
      <c r="U72" s="138">
        <f>[1]Планки!Q72</f>
        <v>100</v>
      </c>
      <c r="V72" s="230">
        <f>[1]Планки!R72</f>
        <v>0</v>
      </c>
      <c r="AB72" s="220"/>
      <c r="AC72" s="220">
        <f>'[2]Изложницы без бурта'!A72</f>
        <v>0</v>
      </c>
      <c r="AD72" s="220">
        <f>'[2]Изложницы без бурта'!B72</f>
        <v>82.5</v>
      </c>
      <c r="AE72" s="220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8">
        <v>330</v>
      </c>
      <c r="AS72" s="368">
        <v>260</v>
      </c>
      <c r="AT72" s="375">
        <v>380</v>
      </c>
      <c r="AU72" s="376">
        <v>300</v>
      </c>
      <c r="AV72" s="368">
        <v>375</v>
      </c>
      <c r="AW72" s="368">
        <v>450</v>
      </c>
      <c r="AX72" s="393" t="s">
        <v>537</v>
      </c>
    </row>
    <row r="73" spans="1:50" ht="14.4" x14ac:dyDescent="0.25">
      <c r="A73" s="257"/>
      <c r="L73" s="228">
        <f>[1]Планки!H73</f>
        <v>10</v>
      </c>
      <c r="M73" s="138">
        <f>[1]Планки!I73</f>
        <v>1115</v>
      </c>
      <c r="N73" s="138">
        <f>[1]Планки!J73</f>
        <v>130</v>
      </c>
      <c r="O73" s="229">
        <f>[1]Планки!K73</f>
        <v>785</v>
      </c>
      <c r="P73" s="229">
        <f>[1]Планки!L73</f>
        <v>345</v>
      </c>
      <c r="Q73" s="138">
        <f>[1]Планки!M73</f>
        <v>380</v>
      </c>
      <c r="R73" s="138">
        <f>[1]Планки!N73</f>
        <v>430</v>
      </c>
      <c r="S73" s="229">
        <f>[1]Планки!O73</f>
        <v>50</v>
      </c>
      <c r="T73" s="138">
        <f>[1]Планки!P73</f>
        <v>60</v>
      </c>
      <c r="U73" s="138">
        <f>[1]Планки!Q73</f>
        <v>130</v>
      </c>
      <c r="V73" s="230" t="str">
        <f>[1]Планки!R73</f>
        <v>модель нашита  (L4=25 L5=48 L6=115)</v>
      </c>
      <c r="AB73" s="220"/>
      <c r="AC73" s="220">
        <f>'[2]Изложницы без бурта'!A73</f>
        <v>0</v>
      </c>
      <c r="AD73" s="220">
        <f>'[2]Изложницы без бурта'!B73</f>
        <v>82.5</v>
      </c>
      <c r="AE73" s="220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8">
        <v>353</v>
      </c>
      <c r="AS73" s="368">
        <v>260</v>
      </c>
      <c r="AT73" s="368">
        <v>380</v>
      </c>
      <c r="AU73" s="367">
        <v>310</v>
      </c>
      <c r="AV73" s="368">
        <v>375</v>
      </c>
      <c r="AW73" s="368">
        <v>450</v>
      </c>
      <c r="AX73" s="393" t="s">
        <v>537</v>
      </c>
    </row>
    <row r="74" spans="1:50" ht="14.4" x14ac:dyDescent="0.25">
      <c r="A74" s="257" t="s">
        <v>190</v>
      </c>
      <c r="B74" s="246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8">
        <f>[1]Планки!H74</f>
        <v>14</v>
      </c>
      <c r="M74" s="138">
        <f>[1]Планки!I74</f>
        <v>948</v>
      </c>
      <c r="N74" s="138">
        <f>[1]Планки!J74</f>
        <v>160</v>
      </c>
      <c r="O74" s="229">
        <f>[1]Планки!K74</f>
        <v>788</v>
      </c>
      <c r="P74" s="229">
        <f>[1]Планки!L74</f>
        <v>200</v>
      </c>
      <c r="Q74" s="138">
        <f>[1]Планки!M74</f>
        <v>215</v>
      </c>
      <c r="R74" s="138">
        <f>[1]Планки!N74</f>
        <v>255</v>
      </c>
      <c r="S74" s="229">
        <f>[1]Планки!O74</f>
        <v>50</v>
      </c>
      <c r="T74" s="138">
        <f>[1]Планки!P74</f>
        <v>58</v>
      </c>
      <c r="U74" s="138">
        <f>[1]Планки!Q74</f>
        <v>120</v>
      </c>
      <c r="V74" s="230" t="str">
        <f>[1]Планки!R74</f>
        <v>модель нашита  (L4=43 L5=51 L6=113)</v>
      </c>
      <c r="AB74" s="220"/>
      <c r="AC74" s="220">
        <f>'[2]Изложницы без бурта'!A74</f>
        <v>0</v>
      </c>
      <c r="AD74" s="220">
        <f>'[2]Изложницы без бурта'!B74</f>
        <v>82.5</v>
      </c>
      <c r="AE74" s="220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8">
        <v>304</v>
      </c>
      <c r="AS74" s="368">
        <v>260</v>
      </c>
      <c r="AT74" s="368">
        <v>310</v>
      </c>
      <c r="AU74" s="368">
        <v>200</v>
      </c>
      <c r="AV74" s="368">
        <v>375</v>
      </c>
      <c r="AW74" s="368">
        <v>450</v>
      </c>
      <c r="AX74" s="393" t="s">
        <v>508</v>
      </c>
    </row>
    <row r="75" spans="1:50" ht="14.4" x14ac:dyDescent="0.25">
      <c r="A75" s="257" t="s">
        <v>191</v>
      </c>
      <c r="B75" s="246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8">
        <f>[1]Планки!H75</f>
        <v>71</v>
      </c>
      <c r="M75" s="138">
        <f>[1]Планки!I75</f>
        <v>920</v>
      </c>
      <c r="N75" s="138">
        <f>[1]Планки!J75</f>
        <v>130</v>
      </c>
      <c r="O75" s="229">
        <f>[1]Планки!K75</f>
        <v>790</v>
      </c>
      <c r="P75" s="229">
        <f>[1]Планки!L75</f>
        <v>200</v>
      </c>
      <c r="Q75" s="138">
        <f>[1]Планки!M75</f>
        <v>210</v>
      </c>
      <c r="R75" s="138">
        <f>[1]Планки!N75</f>
        <v>240</v>
      </c>
      <c r="S75" s="229">
        <f>[1]Планки!O75</f>
        <v>30</v>
      </c>
      <c r="T75" s="138">
        <f>[1]Планки!P75</f>
        <v>40</v>
      </c>
      <c r="U75" s="138">
        <f>[1]Планки!Q75</f>
        <v>95</v>
      </c>
      <c r="V75" s="230">
        <f>[1]Планки!R75</f>
        <v>0</v>
      </c>
      <c r="AB75" s="220"/>
      <c r="AC75" s="220">
        <f>'[2]Изложницы без бурта'!A75</f>
        <v>0</v>
      </c>
      <c r="AD75" s="220">
        <f>'[2]Изложницы без бурта'!B75</f>
        <v>82.5</v>
      </c>
      <c r="AE75" s="220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8">
        <v>288</v>
      </c>
      <c r="AS75" s="368">
        <v>262.5</v>
      </c>
      <c r="AT75" s="368">
        <v>320</v>
      </c>
      <c r="AU75" s="368">
        <v>200</v>
      </c>
      <c r="AV75" s="368">
        <v>375</v>
      </c>
      <c r="AW75" s="368">
        <v>450</v>
      </c>
      <c r="AX75" s="393" t="s">
        <v>509</v>
      </c>
    </row>
    <row r="76" spans="1:50" ht="14.4" x14ac:dyDescent="0.25">
      <c r="A76" s="257" t="s">
        <v>192</v>
      </c>
      <c r="B76" s="246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8">
        <f>[1]Планки!H76</f>
        <v>44</v>
      </c>
      <c r="M76" s="138">
        <f>[1]Планки!I76</f>
        <v>980</v>
      </c>
      <c r="N76" s="138">
        <f>[1]Планки!J76</f>
        <v>190</v>
      </c>
      <c r="O76" s="229">
        <f>[1]Планки!K76</f>
        <v>790</v>
      </c>
      <c r="P76" s="229">
        <f>[1]Планки!L76</f>
        <v>320</v>
      </c>
      <c r="Q76" s="138">
        <f>[1]Планки!M76</f>
        <v>330</v>
      </c>
      <c r="R76" s="138">
        <f>[1]Планки!N76</f>
        <v>375</v>
      </c>
      <c r="S76" s="229">
        <f>[1]Планки!O76</f>
        <v>45</v>
      </c>
      <c r="T76" s="138">
        <f>[1]Планки!P76</f>
        <v>55</v>
      </c>
      <c r="U76" s="138">
        <f>[1]Планки!Q76</f>
        <v>135</v>
      </c>
      <c r="V76" s="230">
        <f>[1]Планки!R76</f>
        <v>0</v>
      </c>
      <c r="AB76" s="220"/>
      <c r="AC76" s="220">
        <f>'[2]Изложницы без бурта'!A76</f>
        <v>0</v>
      </c>
      <c r="AD76" s="220">
        <f>'[2]Изложницы без бурта'!B76</f>
        <v>82.5</v>
      </c>
      <c r="AE76" s="220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8">
        <v>298</v>
      </c>
      <c r="AS76" s="368">
        <v>262.5</v>
      </c>
      <c r="AT76" s="368">
        <v>317</v>
      </c>
      <c r="AU76" s="368">
        <v>195</v>
      </c>
      <c r="AV76" s="368">
        <v>375</v>
      </c>
      <c r="AW76" s="368">
        <v>450</v>
      </c>
      <c r="AX76" s="393" t="s">
        <v>509</v>
      </c>
    </row>
    <row r="77" spans="1:50" ht="14.4" x14ac:dyDescent="0.25">
      <c r="A77" s="257" t="s">
        <v>193</v>
      </c>
      <c r="B77" s="246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8">
        <f>[1]Планки!H77</f>
        <v>104</v>
      </c>
      <c r="M77" s="138">
        <f>[1]Планки!I77</f>
        <v>955</v>
      </c>
      <c r="N77" s="138">
        <f>[1]Планки!J77</f>
        <v>150</v>
      </c>
      <c r="O77" s="229">
        <f>[1]Планки!K77</f>
        <v>805</v>
      </c>
      <c r="P77" s="229">
        <f>[1]Планки!L77</f>
        <v>265</v>
      </c>
      <c r="Q77" s="138">
        <f>[1]Планки!M77</f>
        <v>283</v>
      </c>
      <c r="R77" s="138">
        <f>[1]Планки!N77</f>
        <v>315</v>
      </c>
      <c r="S77" s="229">
        <f>[1]Планки!O77</f>
        <v>33</v>
      </c>
      <c r="T77" s="138">
        <f>[1]Планки!P77</f>
        <v>40</v>
      </c>
      <c r="U77" s="138">
        <f>[1]Планки!Q77</f>
        <v>105</v>
      </c>
      <c r="V77" s="230">
        <f>[1]Планки!R77</f>
        <v>0</v>
      </c>
      <c r="AB77" s="220"/>
      <c r="AC77" s="220">
        <f>'[2]Изложницы без бурта'!A77</f>
        <v>0</v>
      </c>
      <c r="AD77" s="220">
        <f>'[2]Изложницы без бурта'!B77</f>
        <v>82.5</v>
      </c>
      <c r="AE77" s="220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8">
        <v>298</v>
      </c>
      <c r="AS77" s="368">
        <v>265</v>
      </c>
      <c r="AT77" s="368">
        <v>318</v>
      </c>
      <c r="AU77" s="368">
        <v>200</v>
      </c>
      <c r="AV77" s="368">
        <v>375</v>
      </c>
      <c r="AW77" s="368">
        <v>450</v>
      </c>
      <c r="AX77" s="393" t="s">
        <v>510</v>
      </c>
    </row>
    <row r="78" spans="1:50" ht="14.4" x14ac:dyDescent="0.25">
      <c r="A78" s="257" t="s">
        <v>194</v>
      </c>
      <c r="B78" s="246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8">
        <f>[1]Планки!H78</f>
        <v>32</v>
      </c>
      <c r="M78" s="138">
        <f>[1]Планки!I78</f>
        <v>1000</v>
      </c>
      <c r="N78" s="138">
        <f>[1]Планки!J78</f>
        <v>185</v>
      </c>
      <c r="O78" s="229">
        <f>[1]Планки!K78</f>
        <v>815</v>
      </c>
      <c r="P78" s="229">
        <f>[1]Планки!L78</f>
        <v>275</v>
      </c>
      <c r="Q78" s="138">
        <f>[1]Планки!M78</f>
        <v>290</v>
      </c>
      <c r="R78" s="138">
        <f>[1]Планки!N78</f>
        <v>330</v>
      </c>
      <c r="S78" s="229">
        <f>[1]Планки!O78</f>
        <v>37</v>
      </c>
      <c r="T78" s="138">
        <f>[1]Планки!P78</f>
        <v>45</v>
      </c>
      <c r="U78" s="138">
        <f>[1]Планки!Q78</f>
        <v>140</v>
      </c>
      <c r="V78" s="230">
        <f>[1]Планки!R78</f>
        <v>0</v>
      </c>
      <c r="AB78" s="220"/>
      <c r="AC78" s="220">
        <v>0</v>
      </c>
      <c r="AD78" s="220">
        <v>0</v>
      </c>
      <c r="AE78" s="220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8">
        <v>302</v>
      </c>
      <c r="AS78" s="368">
        <v>267.5</v>
      </c>
      <c r="AT78" s="368">
        <v>317</v>
      </c>
      <c r="AU78" s="368">
        <v>200</v>
      </c>
      <c r="AV78" s="368">
        <v>375</v>
      </c>
      <c r="AW78" s="368">
        <v>450</v>
      </c>
      <c r="AX78" s="393" t="s">
        <v>480</v>
      </c>
    </row>
    <row r="79" spans="1:50" ht="14.4" x14ac:dyDescent="0.25">
      <c r="L79" s="228">
        <f>[1]Планки!H79</f>
        <v>86</v>
      </c>
      <c r="M79" s="138">
        <f>[1]Планки!I79</f>
        <v>995</v>
      </c>
      <c r="N79" s="138">
        <f>[1]Планки!J79</f>
        <v>160</v>
      </c>
      <c r="O79" s="229">
        <f>[1]Планки!K79</f>
        <v>835</v>
      </c>
      <c r="P79" s="229">
        <f>[1]Планки!L79</f>
        <v>200</v>
      </c>
      <c r="Q79" s="138">
        <f>[1]Планки!M79</f>
        <v>215</v>
      </c>
      <c r="R79" s="138">
        <f>[1]Планки!N79</f>
        <v>250</v>
      </c>
      <c r="S79" s="229">
        <f>[1]Планки!O79</f>
        <v>85</v>
      </c>
      <c r="T79" s="138">
        <f>[1]Планки!P79</f>
        <v>97</v>
      </c>
      <c r="U79" s="138">
        <f>[1]Планки!Q79</f>
        <v>155</v>
      </c>
      <c r="V79" s="230" t="str">
        <f>[1]Планки!R79</f>
        <v>модель нашита  (L4=32 L5=42 L6=100)</v>
      </c>
      <c r="AB79" s="258">
        <f>IF(MAX(AC79:AC1156)&lt;ROW(1:1),"",VLOOKUP(ROW(1:1),AC79:AD1156,2))</f>
        <v>85</v>
      </c>
      <c r="AC79" s="259">
        <f>IF(COUNTIF(AD$78:AD79,AD79)=1,MAX(AC$78:AC78)+1,"")</f>
        <v>1</v>
      </c>
      <c r="AD79" s="220">
        <f>'[2]Изложницы без бурта'!B79</f>
        <v>85</v>
      </c>
      <c r="AE79" s="220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568</v>
      </c>
      <c r="AM79" s="56">
        <f>'[2]Изложницы без бурта'!K79</f>
        <v>0</v>
      </c>
      <c r="AR79" s="368">
        <v>358</v>
      </c>
      <c r="AS79" s="368">
        <v>270</v>
      </c>
      <c r="AT79" s="368">
        <v>405</v>
      </c>
      <c r="AU79" s="368">
        <v>335</v>
      </c>
      <c r="AV79" s="368">
        <v>400</v>
      </c>
      <c r="AW79" s="368">
        <v>400</v>
      </c>
      <c r="AX79" s="393" t="s">
        <v>511</v>
      </c>
    </row>
    <row r="80" spans="1:50" ht="14.4" x14ac:dyDescent="0.25">
      <c r="A80" s="252" t="s">
        <v>147</v>
      </c>
      <c r="B80" s="256" t="s">
        <v>175</v>
      </c>
      <c r="C80" s="251" t="s">
        <v>176</v>
      </c>
      <c r="D80" s="251"/>
      <c r="E80" s="251"/>
      <c r="F80" s="250"/>
      <c r="G80" s="250" t="s">
        <v>150</v>
      </c>
      <c r="H80" s="249"/>
      <c r="I80" s="249"/>
      <c r="J80" s="250" t="s">
        <v>187</v>
      </c>
      <c r="K80" s="250"/>
      <c r="L80" s="228">
        <f>[1]Планки!H80</f>
        <v>92</v>
      </c>
      <c r="M80" s="138">
        <f>[1]Планки!I80</f>
        <v>1015</v>
      </c>
      <c r="N80" s="138">
        <f>[1]Планки!J80</f>
        <v>175</v>
      </c>
      <c r="O80" s="229">
        <f>[1]Планки!K80</f>
        <v>840</v>
      </c>
      <c r="P80" s="229">
        <f>[1]Планки!L80</f>
        <v>250</v>
      </c>
      <c r="Q80" s="138">
        <f>[1]Планки!M80</f>
        <v>260</v>
      </c>
      <c r="R80" s="138">
        <f>[1]Планки!N80</f>
        <v>310</v>
      </c>
      <c r="S80" s="229">
        <f>[1]Планки!O80</f>
        <v>41</v>
      </c>
      <c r="T80" s="138">
        <f>[1]Планки!P80</f>
        <v>50</v>
      </c>
      <c r="U80" s="138">
        <f>[1]Планки!Q80</f>
        <v>120</v>
      </c>
      <c r="V80" s="230" t="str">
        <f>[1]Планки!R80</f>
        <v>модель нашита  (L4=36 L5=40 L6=110)</v>
      </c>
      <c r="AB80" s="258">
        <f t="shared" ref="AB80:AB143" si="0">IF(MAX(AC80:AC1157)&lt;ROW(2:2),"",VLOOKUP(ROW(2:2),AC80:AD1157,2))</f>
        <v>87.5</v>
      </c>
      <c r="AC80" s="259" t="str">
        <f>IF(COUNTIF(AD$78:AD80,AD80)=1,MAX(AC$78:AC79)+1,"")</f>
        <v/>
      </c>
      <c r="AD80" s="220">
        <f>'[2]Изложницы без бурта'!B80</f>
        <v>85</v>
      </c>
      <c r="AE80" s="220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568</v>
      </c>
      <c r="AM80" s="56">
        <f>'[2]Изложницы без бурта'!K80</f>
        <v>0</v>
      </c>
      <c r="AR80" s="387">
        <v>358</v>
      </c>
      <c r="AS80" s="387">
        <v>280</v>
      </c>
      <c r="AT80" s="387">
        <v>420</v>
      </c>
      <c r="AU80" s="387">
        <v>360</v>
      </c>
      <c r="AV80" s="387"/>
      <c r="AW80" s="387">
        <v>450</v>
      </c>
      <c r="AX80" s="393" t="s">
        <v>512</v>
      </c>
    </row>
    <row r="81" spans="1:50" ht="14.4" x14ac:dyDescent="0.25">
      <c r="A81" s="257"/>
      <c r="B81" s="256" t="s">
        <v>177</v>
      </c>
      <c r="C81" s="249" t="s">
        <v>151</v>
      </c>
      <c r="D81" s="249" t="s">
        <v>152</v>
      </c>
      <c r="E81" s="249" t="s">
        <v>153</v>
      </c>
      <c r="F81" s="250" t="s">
        <v>178</v>
      </c>
      <c r="G81" s="250" t="s">
        <v>179</v>
      </c>
      <c r="H81" s="251" t="s">
        <v>180</v>
      </c>
      <c r="I81" s="251" t="s">
        <v>181</v>
      </c>
      <c r="J81" s="250" t="s">
        <v>188</v>
      </c>
      <c r="K81" s="251" t="s">
        <v>189</v>
      </c>
      <c r="L81" s="228">
        <f>[1]Планки!H81</f>
        <v>105</v>
      </c>
      <c r="M81" s="138">
        <f>[1]Планки!I81</f>
        <v>990</v>
      </c>
      <c r="N81" s="138">
        <f>[1]Планки!J81</f>
        <v>150</v>
      </c>
      <c r="O81" s="229">
        <f>[1]Планки!K81</f>
        <v>840</v>
      </c>
      <c r="P81" s="229">
        <f>[1]Планки!L81</f>
        <v>270</v>
      </c>
      <c r="Q81" s="138">
        <f>[1]Планки!M81</f>
        <v>290</v>
      </c>
      <c r="R81" s="138">
        <f>[1]Планки!N81</f>
        <v>320</v>
      </c>
      <c r="S81" s="229">
        <f>[1]Планки!O81</f>
        <v>32</v>
      </c>
      <c r="T81" s="138">
        <f>[1]Планки!P81</f>
        <v>40</v>
      </c>
      <c r="U81" s="138">
        <f>[1]Планки!Q81</f>
        <v>100</v>
      </c>
      <c r="V81" s="230">
        <f>[1]Планки!R81</f>
        <v>0</v>
      </c>
      <c r="AB81" s="258">
        <f t="shared" si="0"/>
        <v>90</v>
      </c>
      <c r="AC81" s="259" t="str">
        <f>IF(COUNTIF(AD$78:AD81,AD81)=1,MAX(AC$78:AC80)+1,"")</f>
        <v/>
      </c>
      <c r="AD81" s="220">
        <f>'[2]Изложницы без бурта'!B81</f>
        <v>85</v>
      </c>
      <c r="AE81" s="220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568</v>
      </c>
      <c r="AM81" s="56">
        <f>'[2]Изложницы без бурта'!K81</f>
        <v>0</v>
      </c>
      <c r="AR81" s="368">
        <v>308</v>
      </c>
      <c r="AS81" s="368">
        <v>275</v>
      </c>
      <c r="AT81" s="368">
        <v>258</v>
      </c>
      <c r="AU81" s="368">
        <v>198</v>
      </c>
      <c r="AV81" s="368">
        <v>375</v>
      </c>
      <c r="AW81" s="368">
        <v>450</v>
      </c>
      <c r="AX81" s="393" t="s">
        <v>513</v>
      </c>
    </row>
    <row r="82" spans="1:50" ht="14.4" x14ac:dyDescent="0.25">
      <c r="A82" s="257"/>
      <c r="L82" s="228">
        <f>[1]Планки!H82</f>
        <v>45</v>
      </c>
      <c r="M82" s="138">
        <f>[1]Планки!I82</f>
        <v>1015</v>
      </c>
      <c r="N82" s="138">
        <f>[1]Планки!J82</f>
        <v>170</v>
      </c>
      <c r="O82" s="229">
        <f>[1]Планки!K82</f>
        <v>845</v>
      </c>
      <c r="P82" s="229">
        <f>[1]Планки!L82</f>
        <v>170</v>
      </c>
      <c r="Q82" s="138">
        <f>[1]Планки!M82</f>
        <v>190</v>
      </c>
      <c r="R82" s="138">
        <f>[1]Планки!N82</f>
        <v>210</v>
      </c>
      <c r="S82" s="229">
        <f>[1]Планки!O82</f>
        <v>41</v>
      </c>
      <c r="T82" s="138">
        <f>[1]Планки!P82</f>
        <v>56</v>
      </c>
      <c r="U82" s="138">
        <f>[1]Планки!Q82</f>
        <v>125</v>
      </c>
      <c r="V82" s="230" t="str">
        <f>[1]Планки!R82</f>
        <v>модель нашита  (L4=36 L5=51 L6=120)</v>
      </c>
      <c r="AB82" s="258">
        <f t="shared" si="0"/>
        <v>92.5</v>
      </c>
      <c r="AC82" s="259" t="str">
        <f>IF(COUNTIF(AD$78:AD82,AD82)=1,MAX(AC$78:AC81)+1,"")</f>
        <v/>
      </c>
      <c r="AD82" s="220">
        <f>'[2]Изложницы без бурта'!B82</f>
        <v>85</v>
      </c>
      <c r="AE82" s="220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568</v>
      </c>
      <c r="AM82" s="56">
        <f>'[2]Изложницы без бурта'!K82</f>
        <v>0</v>
      </c>
      <c r="AR82" s="368">
        <v>306</v>
      </c>
      <c r="AS82" s="368">
        <v>277.5</v>
      </c>
      <c r="AT82" s="368">
        <v>260</v>
      </c>
      <c r="AU82" s="368">
        <v>220</v>
      </c>
      <c r="AV82" s="368">
        <v>375</v>
      </c>
      <c r="AW82" s="368">
        <v>450</v>
      </c>
      <c r="AX82" s="393" t="s">
        <v>514</v>
      </c>
    </row>
    <row r="83" spans="1:50" ht="15" thickBot="1" x14ac:dyDescent="0.3">
      <c r="A83" s="257" t="s">
        <v>195</v>
      </c>
      <c r="B83" s="246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8">
        <f>[1]Планки!H83</f>
        <v>111</v>
      </c>
      <c r="M83" s="138">
        <f>[1]Планки!I83</f>
        <v>1030</v>
      </c>
      <c r="N83" s="138">
        <f>[1]Планки!J83</f>
        <v>180</v>
      </c>
      <c r="O83" s="229">
        <f>[1]Планки!K83</f>
        <v>850</v>
      </c>
      <c r="P83" s="229">
        <f>[1]Планки!L83</f>
        <v>145</v>
      </c>
      <c r="Q83" s="138">
        <f>[1]Планки!M83</f>
        <v>165</v>
      </c>
      <c r="R83" s="138">
        <f>[1]Планки!N83</f>
        <v>200</v>
      </c>
      <c r="S83" s="229">
        <f>[1]Планки!O83</f>
        <v>50</v>
      </c>
      <c r="T83" s="138">
        <f>[1]Планки!P83</f>
        <v>70</v>
      </c>
      <c r="U83" s="138">
        <f>[1]Планки!Q83</f>
        <v>140</v>
      </c>
      <c r="V83" s="230" t="str">
        <f>[1]Планки!R83</f>
        <v>модель нашита  (L4=40 L5=55 L6=130)</v>
      </c>
      <c r="AB83" s="258">
        <f t="shared" si="0"/>
        <v>95</v>
      </c>
      <c r="AC83" s="259" t="str">
        <f>IF(COUNTIF(AD$78:AD83,AD83)=1,MAX(AC$78:AC82)+1,"")</f>
        <v/>
      </c>
      <c r="AD83" s="220">
        <f>'[2]Изложницы без бурта'!B83</f>
        <v>85</v>
      </c>
      <c r="AE83" s="220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568</v>
      </c>
      <c r="AM83" s="56">
        <f>'[2]Изложницы без бурта'!K83</f>
        <v>0</v>
      </c>
      <c r="AR83" s="368">
        <v>350</v>
      </c>
      <c r="AS83" s="368">
        <v>277.5</v>
      </c>
      <c r="AT83" s="368">
        <v>420</v>
      </c>
      <c r="AU83" s="369">
        <v>340</v>
      </c>
      <c r="AV83" s="368">
        <v>415</v>
      </c>
      <c r="AW83" s="368">
        <v>400</v>
      </c>
      <c r="AX83" s="393" t="s">
        <v>515</v>
      </c>
    </row>
    <row r="84" spans="1:50" ht="15" thickBot="1" x14ac:dyDescent="0.3">
      <c r="A84" s="257" t="s">
        <v>196</v>
      </c>
      <c r="B84" s="246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8">
        <f>[1]Планки!H84</f>
        <v>58</v>
      </c>
      <c r="M84" s="138">
        <f>[1]Планки!I84</f>
        <v>1030</v>
      </c>
      <c r="N84" s="138">
        <f>[1]Планки!J84</f>
        <v>180</v>
      </c>
      <c r="O84" s="229">
        <f>[1]Планки!K84</f>
        <v>850</v>
      </c>
      <c r="P84" s="229">
        <f>[1]Планки!L84</f>
        <v>145</v>
      </c>
      <c r="Q84" s="138">
        <f>[1]Планки!M84</f>
        <v>162</v>
      </c>
      <c r="R84" s="138">
        <f>[1]Планки!N84</f>
        <v>200</v>
      </c>
      <c r="S84" s="229">
        <f>[1]Планки!O84</f>
        <v>90</v>
      </c>
      <c r="T84" s="138">
        <f>[1]Планки!P84</f>
        <v>105</v>
      </c>
      <c r="U84" s="138">
        <f>[1]Планки!Q84</f>
        <v>180</v>
      </c>
      <c r="V84" s="230" t="str">
        <f>[1]Планки!R84</f>
        <v>модель нашита  (L4=40 L5=60 L6=120)</v>
      </c>
      <c r="AB84" s="258">
        <f t="shared" si="0"/>
        <v>100</v>
      </c>
      <c r="AC84" s="259" t="str">
        <f>IF(COUNTIF(AD$78:AD84,AD84)=1,MAX(AC$78:AC83)+1,"")</f>
        <v/>
      </c>
      <c r="AD84" s="220">
        <f>'[2]Изложницы без бурта'!B84</f>
        <v>85</v>
      </c>
      <c r="AE84" s="220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568</v>
      </c>
      <c r="AM84" s="56">
        <f>'[2]Изложницы без бурта'!K84</f>
        <v>0</v>
      </c>
      <c r="AR84" s="368">
        <v>305</v>
      </c>
      <c r="AS84" s="368">
        <v>277.5</v>
      </c>
      <c r="AT84" s="375">
        <v>257</v>
      </c>
      <c r="AU84" s="376">
        <v>200</v>
      </c>
      <c r="AV84" s="368">
        <v>375</v>
      </c>
      <c r="AW84" s="368">
        <v>450</v>
      </c>
      <c r="AX84" s="393" t="s">
        <v>514</v>
      </c>
    </row>
    <row r="85" spans="1:50" ht="14.4" x14ac:dyDescent="0.25">
      <c r="A85" s="257" t="s">
        <v>197</v>
      </c>
      <c r="B85" s="246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8">
        <f>[1]Планки!H85</f>
        <v>70</v>
      </c>
      <c r="M85" s="138">
        <f>[1]Планки!I85</f>
        <v>980</v>
      </c>
      <c r="N85" s="138">
        <f>[1]Планки!J85</f>
        <v>130</v>
      </c>
      <c r="O85" s="229">
        <f>[1]Планки!K85</f>
        <v>850</v>
      </c>
      <c r="P85" s="229">
        <f>[1]Планки!L85</f>
        <v>180</v>
      </c>
      <c r="Q85" s="138">
        <f>[1]Планки!M85</f>
        <v>196</v>
      </c>
      <c r="R85" s="138">
        <f>[1]Планки!N85</f>
        <v>230</v>
      </c>
      <c r="S85" s="229">
        <f>[1]Планки!O85</f>
        <v>30</v>
      </c>
      <c r="T85" s="138">
        <f>[1]Планки!P85</f>
        <v>35</v>
      </c>
      <c r="U85" s="138">
        <f>[1]Планки!Q85</f>
        <v>85</v>
      </c>
      <c r="V85" s="230">
        <f>[1]Планки!R85</f>
        <v>0</v>
      </c>
      <c r="AB85" s="258">
        <f t="shared" si="0"/>
        <v>102.5</v>
      </c>
      <c r="AC85" s="259" t="str">
        <f>IF(COUNTIF(AD$78:AD85,AD85)=1,MAX(AC$78:AC84)+1,"")</f>
        <v/>
      </c>
      <c r="AD85" s="220">
        <f>'[2]Изложницы без бурта'!B85</f>
        <v>85</v>
      </c>
      <c r="AE85" s="220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568</v>
      </c>
      <c r="AM85" s="56">
        <f>'[2]Изложницы без бурта'!K85</f>
        <v>0</v>
      </c>
      <c r="AR85" s="368">
        <v>299</v>
      </c>
      <c r="AS85" s="368">
        <v>277.5</v>
      </c>
      <c r="AT85" s="368">
        <v>260</v>
      </c>
      <c r="AU85" s="367">
        <v>210</v>
      </c>
      <c r="AV85" s="368">
        <v>375</v>
      </c>
      <c r="AW85" s="368">
        <v>450</v>
      </c>
      <c r="AX85" s="393" t="s">
        <v>514</v>
      </c>
    </row>
    <row r="86" spans="1:50" ht="14.4" x14ac:dyDescent="0.25">
      <c r="A86" s="257" t="s">
        <v>198</v>
      </c>
      <c r="B86" s="246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8">
        <f>[1]Планки!H86</f>
        <v>99</v>
      </c>
      <c r="M86" s="138">
        <f>[1]Планки!I86</f>
        <v>1150</v>
      </c>
      <c r="N86" s="138">
        <f>[1]Планки!J86</f>
        <v>300</v>
      </c>
      <c r="O86" s="229">
        <f>[1]Планки!K86</f>
        <v>850</v>
      </c>
      <c r="P86" s="229">
        <f>[1]Планки!L86</f>
        <v>185</v>
      </c>
      <c r="Q86" s="138">
        <f>[1]Планки!M86</f>
        <v>195</v>
      </c>
      <c r="R86" s="138">
        <f>[1]Планки!N86</f>
        <v>250</v>
      </c>
      <c r="S86" s="229">
        <f>[1]Планки!O86</f>
        <v>110</v>
      </c>
      <c r="T86" s="138">
        <f>[1]Планки!P86</f>
        <v>120</v>
      </c>
      <c r="U86" s="138">
        <f>[1]Планки!Q86</f>
        <v>220</v>
      </c>
      <c r="V86" s="230" t="str">
        <f>[1]Планки!R86</f>
        <v>модель нашита  (L4=72 L5=88 L6=110)</v>
      </c>
      <c r="AB86" s="258">
        <f t="shared" si="0"/>
        <v>105</v>
      </c>
      <c r="AC86" s="259" t="str">
        <f>IF(COUNTIF(AD$78:AD86,AD86)=1,MAX(AC$78:AC85)+1,"")</f>
        <v/>
      </c>
      <c r="AD86" s="220">
        <f>'[2]Изложницы без бурта'!B86</f>
        <v>85</v>
      </c>
      <c r="AE86" s="220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568</v>
      </c>
      <c r="AM86" s="56">
        <f>'[2]Изложницы без бурта'!K86</f>
        <v>0</v>
      </c>
      <c r="AR86" s="368">
        <v>310</v>
      </c>
      <c r="AS86" s="368">
        <v>280</v>
      </c>
      <c r="AT86" s="368">
        <v>200</v>
      </c>
      <c r="AU86" s="368">
        <v>130</v>
      </c>
      <c r="AV86" s="368">
        <v>375</v>
      </c>
      <c r="AW86" s="368">
        <v>450</v>
      </c>
      <c r="AX86" s="393" t="s">
        <v>539</v>
      </c>
    </row>
    <row r="87" spans="1:50" ht="15" thickBot="1" x14ac:dyDescent="0.3">
      <c r="A87" s="257" t="s">
        <v>199</v>
      </c>
      <c r="B87" s="246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8">
        <f>[1]Планки!H87</f>
        <v>106</v>
      </c>
      <c r="M87" s="138">
        <f>[1]Планки!I87</f>
        <v>1005</v>
      </c>
      <c r="N87" s="138">
        <f>[1]Планки!J87</f>
        <v>150</v>
      </c>
      <c r="O87" s="229">
        <f>[1]Планки!K87</f>
        <v>855</v>
      </c>
      <c r="P87" s="229">
        <f>[1]Планки!L87</f>
        <v>280</v>
      </c>
      <c r="Q87" s="138">
        <f>[1]Планки!M87</f>
        <v>290</v>
      </c>
      <c r="R87" s="138">
        <f>[1]Планки!N87</f>
        <v>330</v>
      </c>
      <c r="S87" s="229">
        <f>[1]Планки!O87</f>
        <v>33</v>
      </c>
      <c r="T87" s="138">
        <f>[1]Планки!P87</f>
        <v>45</v>
      </c>
      <c r="U87" s="138">
        <f>[1]Планки!Q87</f>
        <v>110</v>
      </c>
      <c r="V87" s="230">
        <f>[1]Планки!R87</f>
        <v>0</v>
      </c>
      <c r="AB87" s="258">
        <f t="shared" si="0"/>
        <v>107.5</v>
      </c>
      <c r="AC87" s="259" t="str">
        <f>IF(COUNTIF(AD$78:AD87,AD87)=1,MAX(AC$78:AC86)+1,"")</f>
        <v/>
      </c>
      <c r="AD87" s="220">
        <f>'[2]Изложницы без бурта'!B87</f>
        <v>85</v>
      </c>
      <c r="AE87" s="220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568</v>
      </c>
      <c r="AM87" s="56">
        <f>'[2]Изложницы без бурта'!K87</f>
        <v>0</v>
      </c>
      <c r="AR87" s="368">
        <v>313</v>
      </c>
      <c r="AS87" s="368">
        <v>280</v>
      </c>
      <c r="AT87" s="368">
        <v>200</v>
      </c>
      <c r="AU87" s="369">
        <v>135</v>
      </c>
      <c r="AV87" s="368">
        <v>375</v>
      </c>
      <c r="AW87" s="368">
        <v>450</v>
      </c>
      <c r="AX87" s="393" t="s">
        <v>539</v>
      </c>
    </row>
    <row r="88" spans="1:50" ht="15" thickBot="1" x14ac:dyDescent="0.3">
      <c r="L88" s="228">
        <f>[1]Планки!H88</f>
        <v>110</v>
      </c>
      <c r="M88" s="138">
        <f>[1]Планки!I88</f>
        <v>1030</v>
      </c>
      <c r="N88" s="138">
        <f>[1]Планки!J88</f>
        <v>170</v>
      </c>
      <c r="O88" s="229">
        <f>[1]Планки!K88</f>
        <v>860</v>
      </c>
      <c r="P88" s="229">
        <f>[1]Планки!L88</f>
        <v>143</v>
      </c>
      <c r="Q88" s="138">
        <f>[1]Планки!M88</f>
        <v>163</v>
      </c>
      <c r="R88" s="138">
        <f>[1]Планки!N88</f>
        <v>200</v>
      </c>
      <c r="S88" s="229">
        <f>[1]Планки!O88</f>
        <v>37</v>
      </c>
      <c r="T88" s="138">
        <f>[1]Планки!P88</f>
        <v>57</v>
      </c>
      <c r="U88" s="138">
        <f>[1]Планки!Q88</f>
        <v>130</v>
      </c>
      <c r="V88" s="230">
        <f>[1]Планки!R88</f>
        <v>0</v>
      </c>
      <c r="AB88" s="258">
        <f t="shared" si="0"/>
        <v>110</v>
      </c>
      <c r="AC88" s="259" t="str">
        <f>IF(COUNTIF(AD$78:AD88,AD88)=1,MAX(AC$78:AC87)+1,"")</f>
        <v/>
      </c>
      <c r="AD88" s="220">
        <f>'[2]Изложницы без бурта'!B88</f>
        <v>85</v>
      </c>
      <c r="AE88" s="220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568</v>
      </c>
      <c r="AM88" s="56">
        <f>'[2]Изложницы без бурта'!K88</f>
        <v>0</v>
      </c>
      <c r="AR88" s="368">
        <v>315</v>
      </c>
      <c r="AS88" s="368">
        <v>285</v>
      </c>
      <c r="AT88" s="375">
        <v>378</v>
      </c>
      <c r="AU88" s="376">
        <v>275</v>
      </c>
      <c r="AV88" s="368">
        <v>375</v>
      </c>
      <c r="AW88" s="368">
        <v>450</v>
      </c>
      <c r="AX88" s="393" t="s">
        <v>516</v>
      </c>
    </row>
    <row r="89" spans="1:50" ht="16.2" thickBot="1" x14ac:dyDescent="0.35">
      <c r="A89" s="56" t="s">
        <v>200</v>
      </c>
      <c r="B89" s="260"/>
      <c r="C89" s="260"/>
      <c r="D89" s="260"/>
      <c r="E89" s="261"/>
      <c r="J89" s="366" t="s">
        <v>461</v>
      </c>
      <c r="L89" s="228">
        <f>[1]Планки!H89</f>
        <v>82</v>
      </c>
      <c r="M89" s="138">
        <f>[1]Планки!I89</f>
        <v>1020</v>
      </c>
      <c r="N89" s="138">
        <f>[1]Планки!J89</f>
        <v>160</v>
      </c>
      <c r="O89" s="229">
        <f>[1]Планки!K89</f>
        <v>860</v>
      </c>
      <c r="P89" s="229">
        <f>[1]Планки!L89</f>
        <v>330</v>
      </c>
      <c r="Q89" s="138">
        <f>[1]Планки!M89</f>
        <v>345</v>
      </c>
      <c r="R89" s="138">
        <f>[1]Планки!N89</f>
        <v>375</v>
      </c>
      <c r="S89" s="229">
        <f>[1]Планки!O89</f>
        <v>34</v>
      </c>
      <c r="T89" s="138">
        <f>[1]Планки!P89</f>
        <v>45</v>
      </c>
      <c r="U89" s="138">
        <f>[1]Планки!Q89</f>
        <v>105</v>
      </c>
      <c r="V89" s="230">
        <f>[1]Планки!R89</f>
        <v>0</v>
      </c>
      <c r="AB89" s="258">
        <f t="shared" ref="AB89:AB97" si="1">IF(MAX(AC89:AC1166)&lt;ROW(11:11),"",VLOOKUP(ROW(11:11),AC89:AD1166,2))</f>
        <v>112.5</v>
      </c>
      <c r="AC89" s="259">
        <f>IF(COUNTIF(AD$78:AD89,AD89)=1,MAX(AC$78:AC88)+1,"")</f>
        <v>2</v>
      </c>
      <c r="AD89" s="220">
        <f>'[2]Изложницы без бурта'!B89</f>
        <v>87.5</v>
      </c>
      <c r="AE89" s="220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569</v>
      </c>
      <c r="AM89" s="56">
        <f>'[2]Изложницы без бурта'!K89</f>
        <v>0</v>
      </c>
      <c r="AR89" s="368">
        <v>313</v>
      </c>
      <c r="AS89" s="368">
        <v>285</v>
      </c>
      <c r="AT89" s="368">
        <v>380</v>
      </c>
      <c r="AU89" s="367">
        <v>320</v>
      </c>
      <c r="AV89" s="368">
        <v>375</v>
      </c>
      <c r="AW89" s="368">
        <v>450</v>
      </c>
      <c r="AX89" s="393" t="s">
        <v>516</v>
      </c>
    </row>
    <row r="90" spans="1:50" ht="15.6" x14ac:dyDescent="0.3">
      <c r="A90" s="262" t="s">
        <v>201</v>
      </c>
      <c r="B90" s="263"/>
      <c r="C90" s="264" t="s">
        <v>202</v>
      </c>
      <c r="D90" s="263"/>
      <c r="E90" s="264" t="s">
        <v>150</v>
      </c>
      <c r="F90" s="265"/>
      <c r="G90" s="263"/>
      <c r="H90" s="266" t="s">
        <v>203</v>
      </c>
      <c r="I90" s="267"/>
      <c r="J90" s="366">
        <v>45</v>
      </c>
      <c r="L90" s="228">
        <f>[1]Планки!H90</f>
        <v>137</v>
      </c>
      <c r="M90" s="138">
        <f>[1]Планки!I90</f>
        <v>1035</v>
      </c>
      <c r="N90" s="138">
        <f>[1]Планки!J90</f>
        <v>175</v>
      </c>
      <c r="O90" s="229">
        <f>[1]Планки!K90</f>
        <v>860</v>
      </c>
      <c r="P90" s="229">
        <f>[1]Планки!L90</f>
        <v>395</v>
      </c>
      <c r="Q90" s="138">
        <f>[1]Планки!M90</f>
        <v>405</v>
      </c>
      <c r="R90" s="138">
        <f>[1]Планки!N90</f>
        <v>445</v>
      </c>
      <c r="S90" s="229">
        <f>[1]Планки!O90</f>
        <v>70</v>
      </c>
      <c r="T90" s="138">
        <f>[1]Планки!P90</f>
        <v>80</v>
      </c>
      <c r="U90" s="138">
        <f>[1]Планки!Q90</f>
        <v>150</v>
      </c>
      <c r="V90" s="230" t="str">
        <f>[1]Планки!R90</f>
        <v>модель нашита  (L4=35 L5=45 L6=120)</v>
      </c>
      <c r="AB90" s="258">
        <f t="shared" si="1"/>
        <v>115</v>
      </c>
      <c r="AC90" s="259" t="str">
        <f>IF(COUNTIF(AD$78:AD90,AD90)=1,MAX(AC$78:AC89)+1,"")</f>
        <v/>
      </c>
      <c r="AD90" s="220">
        <f>'[2]Изложницы без бурта'!B90</f>
        <v>87.5</v>
      </c>
      <c r="AE90" s="220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569</v>
      </c>
      <c r="AM90" s="56">
        <f>'[2]Изложницы без бурта'!K90</f>
        <v>0</v>
      </c>
      <c r="AR90" s="368" t="s">
        <v>471</v>
      </c>
      <c r="AS90" s="368" t="s">
        <v>472</v>
      </c>
      <c r="AT90" s="368">
        <v>205</v>
      </c>
      <c r="AU90" s="367" t="s">
        <v>473</v>
      </c>
      <c r="AV90" s="368">
        <v>410</v>
      </c>
      <c r="AW90" s="368">
        <v>425</v>
      </c>
      <c r="AX90" s="393" t="s">
        <v>567</v>
      </c>
    </row>
    <row r="91" spans="1:50" ht="15" x14ac:dyDescent="0.25">
      <c r="A91" s="268" t="s">
        <v>204</v>
      </c>
      <c r="B91" s="269"/>
      <c r="C91" s="270" t="s">
        <v>151</v>
      </c>
      <c r="D91" s="270"/>
      <c r="E91" s="270" t="s">
        <v>179</v>
      </c>
      <c r="F91" s="271"/>
      <c r="G91" s="270"/>
      <c r="H91" s="272"/>
      <c r="I91" s="138"/>
      <c r="J91" s="366">
        <v>50</v>
      </c>
      <c r="L91" s="228">
        <f>[1]Планки!H91</f>
        <v>93</v>
      </c>
      <c r="M91" s="138">
        <f>[1]Планки!I91</f>
        <v>1030</v>
      </c>
      <c r="N91" s="138">
        <f>[1]Планки!J91</f>
        <v>165</v>
      </c>
      <c r="O91" s="229">
        <f>[1]Планки!K91</f>
        <v>865</v>
      </c>
      <c r="P91" s="229">
        <f>[1]Планки!L91</f>
        <v>240</v>
      </c>
      <c r="Q91" s="138">
        <f>[1]Планки!M91</f>
        <v>256</v>
      </c>
      <c r="R91" s="138">
        <f>[1]Планки!N91</f>
        <v>295</v>
      </c>
      <c r="S91" s="229">
        <f>[1]Планки!O91</f>
        <v>38</v>
      </c>
      <c r="T91" s="138">
        <f>[1]Планки!P91</f>
        <v>48</v>
      </c>
      <c r="U91" s="138">
        <f>[1]Планки!Q91</f>
        <v>120</v>
      </c>
      <c r="V91" s="230">
        <f>[1]Планки!R91</f>
        <v>0</v>
      </c>
      <c r="AB91" s="258">
        <f t="shared" si="1"/>
        <v>117.5</v>
      </c>
      <c r="AC91" s="259" t="str">
        <f>IF(COUNTIF(AD$78:AD91,AD91)=1,MAX(AC$78:AC90)+1,"")</f>
        <v/>
      </c>
      <c r="AD91" s="220">
        <f>'[2]Изложницы без бурта'!B91</f>
        <v>87.5</v>
      </c>
      <c r="AE91" s="220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569</v>
      </c>
      <c r="AM91" s="56">
        <f>'[2]Изложницы без бурта'!K91</f>
        <v>0</v>
      </c>
      <c r="AR91" s="368">
        <v>355</v>
      </c>
      <c r="AS91" s="368">
        <v>295</v>
      </c>
      <c r="AT91" s="368">
        <v>517</v>
      </c>
      <c r="AU91" s="368">
        <v>450</v>
      </c>
      <c r="AV91" s="368">
        <v>470</v>
      </c>
      <c r="AW91" s="368">
        <v>400</v>
      </c>
      <c r="AX91" s="393" t="s">
        <v>517</v>
      </c>
    </row>
    <row r="92" spans="1:50" ht="15" x14ac:dyDescent="0.25">
      <c r="A92" s="273" t="e">
        <f>VLOOKUP(B30,A59:I66,6,FALSE)</f>
        <v>#N/A</v>
      </c>
      <c r="B92" s="274" t="e">
        <f>A92</f>
        <v>#N/A</v>
      </c>
      <c r="C92" s="275" t="e">
        <f>VLOOKUP(B30,A59:I66,3,FALSE)</f>
        <v>#N/A</v>
      </c>
      <c r="D92" s="271"/>
      <c r="E92" s="275" t="e">
        <f>VLOOKUP(B30,A59:I66,7,FALSE)</f>
        <v>#N/A</v>
      </c>
      <c r="F92" s="271"/>
      <c r="G92" s="270"/>
      <c r="H92" s="272"/>
      <c r="I92" s="138"/>
      <c r="J92" s="366">
        <v>55</v>
      </c>
      <c r="L92" s="228">
        <f>[1]Планки!H92</f>
        <v>73</v>
      </c>
      <c r="M92" s="138">
        <f>[1]Планки!I92</f>
        <v>1065</v>
      </c>
      <c r="N92" s="138">
        <f>[1]Планки!J92</f>
        <v>200</v>
      </c>
      <c r="O92" s="229">
        <f>[1]Планки!K92</f>
        <v>865</v>
      </c>
      <c r="P92" s="229">
        <f>[1]Планки!L92</f>
        <v>425</v>
      </c>
      <c r="Q92" s="138">
        <f>[1]Планки!M92</f>
        <v>435</v>
      </c>
      <c r="R92" s="138">
        <f>[1]Планки!N92</f>
        <v>490</v>
      </c>
      <c r="S92" s="229">
        <f>[1]Планки!O92</f>
        <v>49</v>
      </c>
      <c r="T92" s="138">
        <f>[1]Планки!P92</f>
        <v>54</v>
      </c>
      <c r="U92" s="138">
        <f>[1]Планки!Q92</f>
        <v>130</v>
      </c>
      <c r="V92" s="230">
        <f>[1]Планки!R92</f>
        <v>0</v>
      </c>
      <c r="AB92" s="258">
        <f t="shared" si="1"/>
        <v>120</v>
      </c>
      <c r="AC92" s="259">
        <f>IF(COUNTIF(AD$78:AD92,AD92)=1,MAX(AC$78:AC91)+1,"")</f>
        <v>3</v>
      </c>
      <c r="AD92" s="220">
        <f>'[2]Изложницы без бурта'!B92</f>
        <v>90</v>
      </c>
      <c r="AE92" s="220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570</v>
      </c>
      <c r="AM92" s="56">
        <f>'[2]Изложницы без бурта'!K92</f>
        <v>0</v>
      </c>
      <c r="AR92" s="368">
        <v>324</v>
      </c>
      <c r="AS92" s="368">
        <v>295</v>
      </c>
      <c r="AT92" s="368">
        <v>320</v>
      </c>
      <c r="AU92" s="368">
        <v>195</v>
      </c>
      <c r="AV92" s="368">
        <v>415</v>
      </c>
      <c r="AW92" s="368">
        <v>450</v>
      </c>
      <c r="AX92" s="393" t="s">
        <v>540</v>
      </c>
    </row>
    <row r="93" spans="1:50" ht="15" x14ac:dyDescent="0.25">
      <c r="A93" s="276"/>
      <c r="B93" s="269"/>
      <c r="C93" s="270" t="s">
        <v>152</v>
      </c>
      <c r="D93" s="270"/>
      <c r="E93" s="270" t="s">
        <v>180</v>
      </c>
      <c r="F93" s="271"/>
      <c r="G93" s="270"/>
      <c r="H93" s="272"/>
      <c r="I93" s="138"/>
      <c r="J93" s="366">
        <v>60</v>
      </c>
      <c r="L93" s="228">
        <f>[1]Планки!H93</f>
        <v>69</v>
      </c>
      <c r="M93" s="138">
        <f>[1]Планки!I93</f>
        <v>1000</v>
      </c>
      <c r="N93" s="138">
        <f>[1]Планки!J93</f>
        <v>130</v>
      </c>
      <c r="O93" s="229">
        <f>[1]Планки!K93</f>
        <v>870</v>
      </c>
      <c r="P93" s="229">
        <f>[1]Планки!L93</f>
        <v>283</v>
      </c>
      <c r="Q93" s="138">
        <f>[1]Планки!M93</f>
        <v>305</v>
      </c>
      <c r="R93" s="138">
        <f>[1]Планки!N93</f>
        <v>330</v>
      </c>
      <c r="S93" s="229">
        <f>[1]Планки!O93</f>
        <v>27</v>
      </c>
      <c r="T93" s="138">
        <f>[1]Планки!P93</f>
        <v>40</v>
      </c>
      <c r="U93" s="138">
        <f>[1]Планки!Q93</f>
        <v>100</v>
      </c>
      <c r="V93" s="230">
        <f>[1]Планки!R93</f>
        <v>0</v>
      </c>
      <c r="AB93" s="258">
        <f t="shared" si="1"/>
        <v>122.5</v>
      </c>
      <c r="AC93" s="259" t="str">
        <f>IF(COUNTIF(AD$78:AD93,AD93)=1,MAX(AC$78:AC92)+1,"")</f>
        <v/>
      </c>
      <c r="AD93" s="220">
        <f>'[2]Изложницы без бурта'!B93</f>
        <v>90</v>
      </c>
      <c r="AE93" s="220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570</v>
      </c>
      <c r="AM93" s="56">
        <f>'[2]Изложницы без бурта'!K93</f>
        <v>0</v>
      </c>
      <c r="AR93" s="368">
        <v>320</v>
      </c>
      <c r="AS93" s="368">
        <v>295</v>
      </c>
      <c r="AT93" s="368">
        <v>320</v>
      </c>
      <c r="AU93" s="368">
        <v>190</v>
      </c>
      <c r="AV93" s="368">
        <v>415</v>
      </c>
      <c r="AW93" s="368">
        <v>450</v>
      </c>
      <c r="AX93" s="393" t="s">
        <v>540</v>
      </c>
    </row>
    <row r="94" spans="1:50" ht="15.6" x14ac:dyDescent="0.3">
      <c r="A94" s="268" t="s">
        <v>89</v>
      </c>
      <c r="B94" s="269"/>
      <c r="C94" s="275" t="e">
        <f>VLOOKUP(B30,A59:I66,4,FALSE)</f>
        <v>#N/A</v>
      </c>
      <c r="D94" s="277" t="e">
        <f>(C92+C94)/2</f>
        <v>#N/A</v>
      </c>
      <c r="E94" s="275" t="e">
        <f>VLOOKUP(B30,A60:I66,8,FALSE)</f>
        <v>#N/A</v>
      </c>
      <c r="F94" s="270" t="e">
        <f>(E92+E94)/2</f>
        <v>#N/A</v>
      </c>
      <c r="G94" s="271"/>
      <c r="H94" s="272"/>
      <c r="I94" s="138"/>
      <c r="J94" s="366">
        <v>65</v>
      </c>
      <c r="L94" s="228">
        <f>[1]Планки!H94</f>
        <v>42</v>
      </c>
      <c r="M94" s="138">
        <f>[1]Планки!I94</f>
        <v>995</v>
      </c>
      <c r="N94" s="138">
        <f>[1]Планки!J94</f>
        <v>120</v>
      </c>
      <c r="O94" s="229">
        <f>[1]Планки!K94</f>
        <v>875</v>
      </c>
      <c r="P94" s="229">
        <f>[1]Планки!L94</f>
        <v>310</v>
      </c>
      <c r="Q94" s="138">
        <f>[1]Планки!M94</f>
        <v>330</v>
      </c>
      <c r="R94" s="138">
        <f>[1]Планки!N94</f>
        <v>380</v>
      </c>
      <c r="S94" s="229">
        <f>[1]Планки!O94</f>
        <v>30</v>
      </c>
      <c r="T94" s="138">
        <f>[1]Планки!P94</f>
        <v>42</v>
      </c>
      <c r="U94" s="138">
        <f>[1]Планки!Q94</f>
        <v>90</v>
      </c>
      <c r="V94" s="230">
        <f>[1]Планки!R94</f>
        <v>0</v>
      </c>
      <c r="AB94" s="258">
        <f t="shared" si="1"/>
        <v>125</v>
      </c>
      <c r="AC94" s="259" t="str">
        <f>IF(COUNTIF(AD$78:AD94,AD94)=1,MAX(AC$78:AC93)+1,"")</f>
        <v/>
      </c>
      <c r="AD94" s="220">
        <f>'[2]Изложницы без бурта'!B94</f>
        <v>90</v>
      </c>
      <c r="AE94" s="220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570</v>
      </c>
      <c r="AM94" s="56">
        <f>'[2]Изложницы без бурта'!K94</f>
        <v>0</v>
      </c>
      <c r="AR94" s="368">
        <v>380</v>
      </c>
      <c r="AS94" s="368">
        <v>312.5</v>
      </c>
      <c r="AT94" s="368">
        <v>420</v>
      </c>
      <c r="AU94" s="368">
        <v>325</v>
      </c>
      <c r="AV94" s="368">
        <v>470</v>
      </c>
      <c r="AW94" s="368">
        <v>400</v>
      </c>
      <c r="AX94" s="393" t="s">
        <v>541</v>
      </c>
    </row>
    <row r="95" spans="1:50" ht="15" x14ac:dyDescent="0.25">
      <c r="A95" s="273">
        <f>Втулка!N5+Втулка!N8</f>
        <v>559</v>
      </c>
      <c r="B95" s="274">
        <f>A95</f>
        <v>559</v>
      </c>
      <c r="C95" s="270" t="s">
        <v>153</v>
      </c>
      <c r="D95" s="270"/>
      <c r="E95" s="270" t="s">
        <v>205</v>
      </c>
      <c r="F95" s="270"/>
      <c r="G95" s="271"/>
      <c r="H95" s="272"/>
      <c r="I95" s="138"/>
      <c r="J95" s="366">
        <v>70</v>
      </c>
      <c r="L95" s="228">
        <f>[1]Планки!H95</f>
        <v>57</v>
      </c>
      <c r="M95" s="138">
        <f>[1]Планки!I95</f>
        <v>1050</v>
      </c>
      <c r="N95" s="138">
        <f>[1]Планки!J95</f>
        <v>155</v>
      </c>
      <c r="O95" s="229">
        <f>[1]Планки!K95</f>
        <v>895</v>
      </c>
      <c r="P95" s="229">
        <f>[1]Планки!L95</f>
        <v>190</v>
      </c>
      <c r="Q95" s="138">
        <f>[1]Планки!M95</f>
        <v>200</v>
      </c>
      <c r="R95" s="138">
        <f>[1]Планки!N95</f>
        <v>240</v>
      </c>
      <c r="S95" s="229">
        <f>[1]Планки!O95</f>
        <v>32</v>
      </c>
      <c r="T95" s="138">
        <f>[1]Планки!P95</f>
        <v>45</v>
      </c>
      <c r="U95" s="138">
        <f>[1]Планки!Q95</f>
        <v>100</v>
      </c>
      <c r="V95" s="230">
        <f>[1]Планки!R95</f>
        <v>0</v>
      </c>
      <c r="AB95" s="258">
        <f t="shared" si="1"/>
        <v>127.5</v>
      </c>
      <c r="AC95" s="259" t="str">
        <f>IF(COUNTIF(AD$78:AD95,AD95)=1,MAX(AC$78:AC94)+1,"")</f>
        <v/>
      </c>
      <c r="AD95" s="220">
        <f>'[2]Изложницы без бурта'!B95</f>
        <v>90</v>
      </c>
      <c r="AE95" s="220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570</v>
      </c>
      <c r="AM95" s="56">
        <f>'[2]Изложницы без бурта'!K95</f>
        <v>0</v>
      </c>
      <c r="AR95" s="368">
        <v>382</v>
      </c>
      <c r="AS95" s="368">
        <v>312.5</v>
      </c>
      <c r="AT95" s="368">
        <v>420</v>
      </c>
      <c r="AU95" s="368">
        <v>330</v>
      </c>
      <c r="AV95" s="368">
        <v>470</v>
      </c>
      <c r="AW95" s="368">
        <v>400</v>
      </c>
      <c r="AX95" s="393" t="s">
        <v>541</v>
      </c>
    </row>
    <row r="96" spans="1:50" ht="15.6" x14ac:dyDescent="0.3">
      <c r="A96" s="276"/>
      <c r="B96" s="278">
        <f>Втулка!N6</f>
        <v>7.5</v>
      </c>
      <c r="C96" s="275" t="e">
        <f>VLOOKUP(B30,A60:I66,5,FALSE)</f>
        <v>#N/A</v>
      </c>
      <c r="D96" s="277" t="e">
        <f>C96</f>
        <v>#N/A</v>
      </c>
      <c r="E96" s="275" t="e">
        <f>VLOOKUP(B30,A60:I66,9,FALSE)</f>
        <v>#N/A</v>
      </c>
      <c r="F96" s="270" t="e">
        <f>E96</f>
        <v>#N/A</v>
      </c>
      <c r="G96" s="271"/>
      <c r="H96" s="279"/>
      <c r="I96" s="138"/>
      <c r="J96" s="366">
        <v>75</v>
      </c>
      <c r="L96" s="228">
        <f>[1]Планки!H96</f>
        <v>60</v>
      </c>
      <c r="M96" s="138">
        <f>[1]Планки!I96</f>
        <v>1105</v>
      </c>
      <c r="N96" s="138">
        <f>[1]Планки!J96</f>
        <v>200</v>
      </c>
      <c r="O96" s="229">
        <f>[1]Планки!K96</f>
        <v>905</v>
      </c>
      <c r="P96" s="229">
        <f>[1]Планки!L96</f>
        <v>145</v>
      </c>
      <c r="Q96" s="138">
        <f>[1]Планки!M96</f>
        <v>157</v>
      </c>
      <c r="R96" s="138">
        <f>[1]Планки!N96</f>
        <v>200</v>
      </c>
      <c r="S96" s="229">
        <f>[1]Планки!O96</f>
        <v>40</v>
      </c>
      <c r="T96" s="138">
        <f>[1]Планки!P96</f>
        <v>50</v>
      </c>
      <c r="U96" s="138">
        <f>[1]Планки!Q96</f>
        <v>120</v>
      </c>
      <c r="V96" s="230">
        <f>[1]Планки!R96</f>
        <v>0</v>
      </c>
      <c r="AB96" s="258">
        <f t="shared" si="1"/>
        <v>130</v>
      </c>
      <c r="AC96" s="259" t="str">
        <f>IF(COUNTIF(AD$78:AD96,AD96)=1,MAX(AC$78:AC95)+1,"")</f>
        <v/>
      </c>
      <c r="AD96" s="220">
        <f>'[2]Изложницы без бурта'!B96</f>
        <v>90</v>
      </c>
      <c r="AE96" s="220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570</v>
      </c>
      <c r="AM96" s="56">
        <f>'[2]Изложницы без бурта'!K96</f>
        <v>0</v>
      </c>
      <c r="AR96" s="368">
        <v>375</v>
      </c>
      <c r="AS96" s="368">
        <v>315</v>
      </c>
      <c r="AT96" s="368">
        <v>420</v>
      </c>
      <c r="AU96" s="368">
        <v>350</v>
      </c>
      <c r="AV96" s="368"/>
      <c r="AW96" s="368">
        <v>450</v>
      </c>
      <c r="AX96" s="393" t="s">
        <v>518</v>
      </c>
    </row>
    <row r="97" spans="1:50" ht="15.6" x14ac:dyDescent="0.3">
      <c r="A97" s="276"/>
      <c r="B97" s="280" t="e">
        <f>B92*B92*3.1415926*B95*B96/4000000</f>
        <v>#N/A</v>
      </c>
      <c r="C97" s="281" t="s">
        <v>89</v>
      </c>
      <c r="D97" s="270"/>
      <c r="E97" s="281" t="s">
        <v>206</v>
      </c>
      <c r="F97" s="270"/>
      <c r="G97" s="271"/>
      <c r="H97" s="279"/>
      <c r="I97" s="138"/>
      <c r="L97" s="228">
        <f>[1]Планки!H97</f>
        <v>27</v>
      </c>
      <c r="M97" s="138">
        <f>[1]Планки!I97</f>
        <v>1110</v>
      </c>
      <c r="N97" s="138">
        <f>[1]Планки!J97</f>
        <v>205</v>
      </c>
      <c r="O97" s="229">
        <f>[1]Планки!K97</f>
        <v>905</v>
      </c>
      <c r="P97" s="229">
        <f>[1]Планки!L97</f>
        <v>147</v>
      </c>
      <c r="Q97" s="138">
        <f>[1]Планки!M97</f>
        <v>167</v>
      </c>
      <c r="R97" s="138">
        <f>[1]Планки!N97</f>
        <v>215</v>
      </c>
      <c r="S97" s="229">
        <f>[1]Планки!O97</f>
        <v>45</v>
      </c>
      <c r="T97" s="138">
        <f>[1]Планки!P97</f>
        <v>60</v>
      </c>
      <c r="U97" s="138">
        <f>[1]Планки!Q97</f>
        <v>135</v>
      </c>
      <c r="V97" s="230">
        <f>[1]Планки!R97</f>
        <v>0</v>
      </c>
      <c r="AB97" s="258">
        <f t="shared" si="1"/>
        <v>132.5</v>
      </c>
      <c r="AC97" s="259">
        <f>IF(COUNTIF(AD$78:AD97,AD97)=1,MAX(AC$78:AC96)+1,"")</f>
        <v>4</v>
      </c>
      <c r="AD97" s="220">
        <f>'[2]Изложницы без бурта'!B97</f>
        <v>92.5</v>
      </c>
      <c r="AE97" s="220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571</v>
      </c>
      <c r="AM97" s="56">
        <f>'[2]Изложницы без бурта'!K97</f>
        <v>0</v>
      </c>
      <c r="AR97" s="368">
        <v>435</v>
      </c>
      <c r="AS97" s="368">
        <v>315</v>
      </c>
      <c r="AT97" s="368">
        <v>495</v>
      </c>
      <c r="AU97" s="368">
        <v>430</v>
      </c>
      <c r="AV97" s="368">
        <v>470</v>
      </c>
      <c r="AW97" s="368">
        <v>400</v>
      </c>
      <c r="AX97" s="393" t="s">
        <v>542</v>
      </c>
    </row>
    <row r="98" spans="1:50" ht="16.2" thickBot="1" x14ac:dyDescent="0.35">
      <c r="A98" s="276"/>
      <c r="B98" s="270"/>
      <c r="C98" s="275">
        <v>50</v>
      </c>
      <c r="D98" s="277">
        <f>C98</f>
        <v>50</v>
      </c>
      <c r="E98" s="275">
        <f>Втулка!N3</f>
        <v>323</v>
      </c>
      <c r="F98" s="282" t="e">
        <f>2*3.1415926*E101/2</f>
        <v>#N/A</v>
      </c>
      <c r="G98" s="271"/>
      <c r="H98" s="279"/>
      <c r="I98" s="138"/>
      <c r="L98" s="228">
        <f>[1]Планки!H98</f>
        <v>56</v>
      </c>
      <c r="M98" s="138">
        <f>[1]Планки!I98</f>
        <v>1060</v>
      </c>
      <c r="N98" s="138">
        <f>[1]Планки!J98</f>
        <v>155</v>
      </c>
      <c r="O98" s="229">
        <f>[1]Планки!K98</f>
        <v>905</v>
      </c>
      <c r="P98" s="229">
        <f>[1]Планки!L98</f>
        <v>180</v>
      </c>
      <c r="Q98" s="138">
        <f>[1]Планки!M98</f>
        <v>190</v>
      </c>
      <c r="R98" s="138">
        <f>[1]Планки!N98</f>
        <v>230</v>
      </c>
      <c r="S98" s="229">
        <f>[1]Планки!O98</f>
        <v>34</v>
      </c>
      <c r="T98" s="138">
        <f>[1]Планки!P98</f>
        <v>45</v>
      </c>
      <c r="U98" s="138">
        <f>[1]Планки!Q98</f>
        <v>105</v>
      </c>
      <c r="V98" s="230">
        <f>[1]Планки!R98</f>
        <v>0</v>
      </c>
      <c r="AB98" s="258">
        <f t="shared" ref="AB98:AB105" si="2">IF(MAX(AC98:AC1175)&lt;ROW(20:20),"",VLOOKUP(ROW(20:20),AC98:AD1175,2))</f>
        <v>135</v>
      </c>
      <c r="AC98" s="259" t="str">
        <f>IF(COUNTIF(AD$78:AD98,AD98)=1,MAX(AC$78:AC97)+1,"")</f>
        <v/>
      </c>
      <c r="AD98" s="220">
        <f>'[2]Изложницы без бурта'!B98</f>
        <v>92.5</v>
      </c>
      <c r="AE98" s="220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571</v>
      </c>
      <c r="AM98" s="56">
        <f>'[2]Изложницы без бурта'!K98</f>
        <v>0</v>
      </c>
      <c r="AR98" s="368">
        <v>340</v>
      </c>
      <c r="AS98" s="369">
        <v>317.5</v>
      </c>
      <c r="AT98" s="368">
        <v>425</v>
      </c>
      <c r="AU98" s="368">
        <v>360</v>
      </c>
      <c r="AV98" s="368">
        <v>415</v>
      </c>
      <c r="AW98" s="368">
        <v>400</v>
      </c>
      <c r="AX98" s="393" t="s">
        <v>543</v>
      </c>
    </row>
    <row r="99" spans="1:50" ht="15.6" thickBot="1" x14ac:dyDescent="0.3">
      <c r="A99" s="276"/>
      <c r="B99" s="271"/>
      <c r="C99" s="281" t="s">
        <v>175</v>
      </c>
      <c r="D99" s="270"/>
      <c r="E99" s="281" t="s">
        <v>207</v>
      </c>
      <c r="F99" s="270"/>
      <c r="G99" s="281" t="s">
        <v>208</v>
      </c>
      <c r="H99" s="279"/>
      <c r="I99" s="138"/>
      <c r="L99" s="228">
        <f>[1]Планки!H99</f>
        <v>46</v>
      </c>
      <c r="M99" s="138">
        <f>[1]Планки!I99</f>
        <v>1060</v>
      </c>
      <c r="N99" s="138">
        <f>[1]Планки!J99</f>
        <v>155</v>
      </c>
      <c r="O99" s="229">
        <f>[1]Планки!K99</f>
        <v>905</v>
      </c>
      <c r="P99" s="229">
        <f>[1]Планки!L99</f>
        <v>210</v>
      </c>
      <c r="Q99" s="138">
        <f>[1]Планки!M99</f>
        <v>227</v>
      </c>
      <c r="R99" s="138">
        <f>[1]Планки!N99</f>
        <v>260</v>
      </c>
      <c r="S99" s="229">
        <f>[1]Планки!O99</f>
        <v>86</v>
      </c>
      <c r="T99" s="138">
        <f>[1]Планки!P99</f>
        <v>98</v>
      </c>
      <c r="U99" s="138">
        <f>[1]Планки!Q99</f>
        <v>160</v>
      </c>
      <c r="V99" s="230" t="str">
        <f>[1]Планки!R99</f>
        <v>модель нашита  (L4=35 L5=45 L6=100)</v>
      </c>
      <c r="AB99" s="258">
        <f t="shared" si="2"/>
        <v>137.5</v>
      </c>
      <c r="AC99" s="259" t="str">
        <f>IF(COUNTIF(AD$78:AD99,AD99)=1,MAX(AC$78:AC98)+1,"")</f>
        <v/>
      </c>
      <c r="AD99" s="220">
        <f>'[2]Изложницы без бурта'!B99</f>
        <v>92.5</v>
      </c>
      <c r="AE99" s="220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571</v>
      </c>
      <c r="AM99" s="56">
        <f>'[2]Изложницы без бурта'!K99</f>
        <v>0</v>
      </c>
      <c r="AR99" s="375">
        <v>355</v>
      </c>
      <c r="AS99" s="376">
        <v>320</v>
      </c>
      <c r="AT99" s="377">
        <v>395</v>
      </c>
      <c r="AU99" s="368">
        <v>325</v>
      </c>
      <c r="AV99" s="368">
        <v>415</v>
      </c>
      <c r="AW99" s="368">
        <v>400</v>
      </c>
      <c r="AX99" s="393" t="s">
        <v>544</v>
      </c>
    </row>
    <row r="100" spans="1:50" ht="15.6" x14ac:dyDescent="0.3">
      <c r="A100" s="276"/>
      <c r="B100" s="271"/>
      <c r="C100" s="275" t="e">
        <f>VLOOKUP(B30,A59:I66,2,FALSE)</f>
        <v>#N/A</v>
      </c>
      <c r="D100" s="277" t="e">
        <f>C100</f>
        <v>#N/A</v>
      </c>
      <c r="E100" s="281" t="s">
        <v>209</v>
      </c>
      <c r="F100" s="270"/>
      <c r="G100" s="275">
        <v>270</v>
      </c>
      <c r="H100" s="279"/>
      <c r="I100" s="138"/>
      <c r="L100" s="228">
        <f>[1]Планки!H100</f>
        <v>12</v>
      </c>
      <c r="M100" s="138">
        <f>[1]Планки!I100</f>
        <v>1055</v>
      </c>
      <c r="N100" s="138">
        <f>[1]Планки!J100</f>
        <v>140</v>
      </c>
      <c r="O100" s="229">
        <f>[1]Планки!K100</f>
        <v>915</v>
      </c>
      <c r="P100" s="229">
        <f>[1]Планки!L100</f>
        <v>220</v>
      </c>
      <c r="Q100" s="138">
        <f>[1]Планки!M100</f>
        <v>235</v>
      </c>
      <c r="R100" s="138">
        <f>[1]Планки!N100</f>
        <v>275</v>
      </c>
      <c r="S100" s="229">
        <f>[1]Планки!O100</f>
        <v>35</v>
      </c>
      <c r="T100" s="138">
        <f>[1]Планки!P100</f>
        <v>40</v>
      </c>
      <c r="U100" s="138">
        <f>[1]Планки!Q100</f>
        <v>100</v>
      </c>
      <c r="V100" s="230">
        <f>[1]Планки!R100</f>
        <v>0</v>
      </c>
      <c r="AB100" s="258">
        <f t="shared" si="2"/>
        <v>140</v>
      </c>
      <c r="AC100" s="259" t="str">
        <f>IF(COUNTIF(AD$78:AD100,AD100)=1,MAX(AC$78:AC99)+1,"")</f>
        <v/>
      </c>
      <c r="AD100" s="220">
        <f>'[2]Изложницы без бурта'!B100</f>
        <v>92.5</v>
      </c>
      <c r="AE100" s="220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571</v>
      </c>
      <c r="AM100" s="56">
        <f>'[2]Изложницы без бурта'!K100</f>
        <v>0</v>
      </c>
      <c r="AR100" s="368">
        <v>352</v>
      </c>
      <c r="AS100" s="367">
        <v>325</v>
      </c>
      <c r="AT100" s="368">
        <v>517</v>
      </c>
      <c r="AU100" s="368">
        <v>465</v>
      </c>
      <c r="AV100" s="368">
        <v>470</v>
      </c>
      <c r="AW100" s="368">
        <v>400</v>
      </c>
      <c r="AX100" s="393" t="s">
        <v>481</v>
      </c>
    </row>
    <row r="101" spans="1:50" ht="15.6" thickBot="1" x14ac:dyDescent="0.3">
      <c r="A101" s="276"/>
      <c r="B101" s="271"/>
      <c r="C101" s="271"/>
      <c r="D101" s="278">
        <f>Втулка!N6</f>
        <v>7.5</v>
      </c>
      <c r="E101" s="270" t="e">
        <f>E98+C98+E96</f>
        <v>#N/A</v>
      </c>
      <c r="F101" s="278">
        <f>Втулка!N6</f>
        <v>7.5</v>
      </c>
      <c r="G101" s="270" t="s">
        <v>210</v>
      </c>
      <c r="H101" s="279"/>
      <c r="I101" s="138"/>
      <c r="L101" s="228">
        <f>[1]Планки!H101</f>
        <v>115</v>
      </c>
      <c r="M101" s="138">
        <f>[1]Планки!I101</f>
        <v>1080</v>
      </c>
      <c r="N101" s="138">
        <f>[1]Планки!J101</f>
        <v>160</v>
      </c>
      <c r="O101" s="229">
        <f>[1]Планки!K101</f>
        <v>920</v>
      </c>
      <c r="P101" s="229">
        <f>[1]Планки!L101</f>
        <v>520</v>
      </c>
      <c r="Q101" s="138">
        <f>[1]Планки!M101</f>
        <v>527</v>
      </c>
      <c r="R101" s="138">
        <f>[1]Планки!N101</f>
        <v>590</v>
      </c>
      <c r="S101" s="229">
        <f>[1]Планки!O101</f>
        <v>75</v>
      </c>
      <c r="T101" s="138">
        <f>[1]Планки!P101</f>
        <v>85</v>
      </c>
      <c r="U101" s="138">
        <f>[1]Планки!Q101</f>
        <v>120</v>
      </c>
      <c r="V101" s="230" t="str">
        <f>[1]Планки!R101</f>
        <v>модель нашита  (L4=30 L5=38 L6=80)</v>
      </c>
      <c r="AB101" s="258">
        <f t="shared" si="2"/>
        <v>142.5</v>
      </c>
      <c r="AC101" s="259" t="str">
        <f>IF(COUNTIF(AD$78:AD101,AD101)=1,MAX(AC$78:AC100)+1,"")</f>
        <v/>
      </c>
      <c r="AD101" s="220">
        <f>'[2]Изложницы без бурта'!B101</f>
        <v>92.5</v>
      </c>
      <c r="AE101" s="220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571</v>
      </c>
      <c r="AM101" s="56">
        <f>'[2]Изложницы без бурта'!K101</f>
        <v>0</v>
      </c>
      <c r="AR101" s="368">
        <v>347</v>
      </c>
      <c r="AS101" s="368">
        <v>327.5</v>
      </c>
      <c r="AT101" s="369">
        <v>520</v>
      </c>
      <c r="AU101" s="368">
        <v>470</v>
      </c>
      <c r="AV101" s="368">
        <v>470</v>
      </c>
      <c r="AW101" s="368">
        <v>400</v>
      </c>
      <c r="AX101" s="393" t="s">
        <v>481</v>
      </c>
    </row>
    <row r="102" spans="1:50" ht="16.2" thickBot="1" x14ac:dyDescent="0.35">
      <c r="A102" s="283"/>
      <c r="B102" s="284"/>
      <c r="C102" s="284"/>
      <c r="D102" s="285" t="e">
        <f>D94*D96*D98*D100*D101/1000000</f>
        <v>#N/A</v>
      </c>
      <c r="E102" s="284"/>
      <c r="F102" s="286" t="e">
        <f>F94*F96*F98*F101/1000000</f>
        <v>#N/A</v>
      </c>
      <c r="G102" s="285" t="e">
        <f>F102/360*G100</f>
        <v>#N/A</v>
      </c>
      <c r="H102" s="287" t="e">
        <f>B97+D102+G102</f>
        <v>#N/A</v>
      </c>
      <c r="I102" s="288"/>
      <c r="L102" s="228">
        <f>[1]Планки!H102</f>
        <v>116</v>
      </c>
      <c r="M102" s="138">
        <f>[1]Планки!I102</f>
        <v>1090</v>
      </c>
      <c r="N102" s="138">
        <f>[1]Планки!J102</f>
        <v>165</v>
      </c>
      <c r="O102" s="229">
        <f>[1]Планки!K102</f>
        <v>925</v>
      </c>
      <c r="P102" s="229">
        <f>[1]Планки!L102</f>
        <v>457</v>
      </c>
      <c r="Q102" s="138">
        <f>[1]Планки!M102</f>
        <v>480</v>
      </c>
      <c r="R102" s="138">
        <f>[1]Планки!N102</f>
        <v>510</v>
      </c>
      <c r="S102" s="229">
        <f>[1]Планки!O102</f>
        <v>37</v>
      </c>
      <c r="T102" s="138">
        <f>[1]Планки!P102</f>
        <v>50</v>
      </c>
      <c r="U102" s="138">
        <f>[1]Планки!Q102</f>
        <v>115</v>
      </c>
      <c r="V102" s="230">
        <f>[1]Планки!R102</f>
        <v>0</v>
      </c>
      <c r="AB102" s="258">
        <f t="shared" si="2"/>
        <v>145</v>
      </c>
      <c r="AC102" s="259">
        <f>IF(COUNTIF(AD$78:AD102,AD102)=1,MAX(AC$78:AC101)+1,"")</f>
        <v>5</v>
      </c>
      <c r="AD102" s="220">
        <f>'[2]Изложницы без бурта'!B102</f>
        <v>95</v>
      </c>
      <c r="AE102" s="220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572</v>
      </c>
      <c r="AM102" s="56">
        <f>'[2]Изложницы без бурта'!K102</f>
        <v>0</v>
      </c>
      <c r="AR102" s="368">
        <v>415</v>
      </c>
      <c r="AS102" s="375">
        <v>337.5</v>
      </c>
      <c r="AT102" s="376">
        <v>300</v>
      </c>
      <c r="AU102" s="377">
        <v>235</v>
      </c>
      <c r="AV102" s="368">
        <v>470</v>
      </c>
      <c r="AW102" s="368">
        <v>450</v>
      </c>
      <c r="AX102" s="393" t="s">
        <v>545</v>
      </c>
    </row>
    <row r="103" spans="1:50" ht="15" thickBot="1" x14ac:dyDescent="0.3">
      <c r="L103" s="228">
        <f>[1]Планки!H103</f>
        <v>81</v>
      </c>
      <c r="M103" s="138">
        <f>[1]Планки!I103</f>
        <v>1060</v>
      </c>
      <c r="N103" s="138">
        <f>[1]Планки!J103</f>
        <v>130</v>
      </c>
      <c r="O103" s="229">
        <f>[1]Планки!K103</f>
        <v>930</v>
      </c>
      <c r="P103" s="229">
        <f>[1]Планки!L103</f>
        <v>215</v>
      </c>
      <c r="Q103" s="138">
        <f>[1]Планки!M103</f>
        <v>230</v>
      </c>
      <c r="R103" s="138">
        <f>[1]Планки!N103</f>
        <v>260</v>
      </c>
      <c r="S103" s="229">
        <f>[1]Планки!O103</f>
        <v>30</v>
      </c>
      <c r="T103" s="138">
        <f>[1]Планки!P103</f>
        <v>42</v>
      </c>
      <c r="U103" s="138">
        <f>[1]Планки!Q103</f>
        <v>90</v>
      </c>
      <c r="V103" s="230">
        <f>[1]Планки!R103</f>
        <v>0</v>
      </c>
      <c r="AB103" s="258">
        <f t="shared" si="2"/>
        <v>147.5</v>
      </c>
      <c r="AC103" s="259" t="str">
        <f>IF(COUNTIF(AD$78:AD103,AD103)=1,MAX(AC$78:AC102)+1,"")</f>
        <v/>
      </c>
      <c r="AD103" s="220">
        <f>'[2]Изложницы без бурта'!B103</f>
        <v>95</v>
      </c>
      <c r="AE103" s="220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572</v>
      </c>
      <c r="AM103" s="56">
        <f>'[2]Изложницы без бурта'!K103</f>
        <v>0</v>
      </c>
      <c r="AR103" s="368">
        <v>375</v>
      </c>
      <c r="AS103" s="375">
        <v>337.5</v>
      </c>
      <c r="AT103" s="367">
        <v>400</v>
      </c>
      <c r="AU103" s="369">
        <v>325</v>
      </c>
      <c r="AV103" s="368">
        <v>470</v>
      </c>
      <c r="AW103" s="368">
        <v>400</v>
      </c>
      <c r="AX103" s="393" t="s">
        <v>546</v>
      </c>
    </row>
    <row r="104" spans="1:50" ht="15" thickBot="1" x14ac:dyDescent="0.3">
      <c r="A104" s="56" t="s">
        <v>211</v>
      </c>
      <c r="L104" s="228">
        <f>[1]Планки!H104</f>
        <v>8</v>
      </c>
      <c r="M104" s="138">
        <f>[1]Планки!I104</f>
        <v>1210</v>
      </c>
      <c r="N104" s="138">
        <f>[1]Планки!J104</f>
        <v>270</v>
      </c>
      <c r="O104" s="229">
        <f>[1]Планки!K104</f>
        <v>940</v>
      </c>
      <c r="P104" s="229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9">
        <f>[1]Планки!O104</f>
        <v>95</v>
      </c>
      <c r="T104" s="138">
        <f>[1]Планки!P104</f>
        <v>105</v>
      </c>
      <c r="U104" s="138">
        <f>[1]Планки!Q104</f>
        <v>185</v>
      </c>
      <c r="V104" s="230" t="str">
        <f>[1]Планки!R104</f>
        <v>не расшивать - модель развалится</v>
      </c>
      <c r="AB104" s="258">
        <f t="shared" si="2"/>
        <v>150</v>
      </c>
      <c r="AC104" s="259" t="str">
        <f>IF(COUNTIF(AD$78:AD104,AD104)=1,MAX(AC$78:AC103)+1,"")</f>
        <v/>
      </c>
      <c r="AD104" s="220">
        <f>'[2]Изложницы без бурта'!B104</f>
        <v>95</v>
      </c>
      <c r="AE104" s="220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572</v>
      </c>
      <c r="AM104" s="56">
        <f>'[2]Изложницы без бурта'!K104</f>
        <v>0</v>
      </c>
      <c r="AR104" s="368">
        <v>415</v>
      </c>
      <c r="AS104" s="375">
        <v>337.5</v>
      </c>
      <c r="AT104" s="375">
        <v>300</v>
      </c>
      <c r="AU104" s="376">
        <v>255</v>
      </c>
      <c r="AV104" s="368">
        <v>470</v>
      </c>
      <c r="AW104" s="368">
        <v>450</v>
      </c>
      <c r="AX104" s="393" t="s">
        <v>545</v>
      </c>
    </row>
    <row r="105" spans="1:50" ht="15.6" x14ac:dyDescent="0.3">
      <c r="A105" s="262" t="s">
        <v>201</v>
      </c>
      <c r="B105" s="263"/>
      <c r="C105" s="264" t="s">
        <v>202</v>
      </c>
      <c r="D105" s="263"/>
      <c r="E105" s="264" t="s">
        <v>150</v>
      </c>
      <c r="F105" s="265"/>
      <c r="G105" s="263"/>
      <c r="H105" s="289" t="s">
        <v>187</v>
      </c>
      <c r="I105" s="266" t="s">
        <v>203</v>
      </c>
      <c r="L105" s="228">
        <f>[1]Планки!H105</f>
        <v>35</v>
      </c>
      <c r="M105" s="138">
        <f>[1]Планки!I105</f>
        <v>1200</v>
      </c>
      <c r="N105" s="138">
        <f>[1]Планки!J105</f>
        <v>245</v>
      </c>
      <c r="O105" s="229">
        <f>[1]Планки!K105</f>
        <v>955</v>
      </c>
      <c r="P105" s="229">
        <f>[1]Планки!L105</f>
        <v>305</v>
      </c>
      <c r="Q105" s="138">
        <f>[1]Планки!M105</f>
        <v>317</v>
      </c>
      <c r="R105" s="138">
        <f>[1]Планки!N105</f>
        <v>380</v>
      </c>
      <c r="S105" s="229">
        <f>[1]Планки!O105</f>
        <v>63</v>
      </c>
      <c r="T105" s="138">
        <f>[1]Планки!P105</f>
        <v>75</v>
      </c>
      <c r="U105" s="138">
        <f>[1]Планки!Q105</f>
        <v>170</v>
      </c>
      <c r="V105" s="230">
        <f>[1]Планки!R105</f>
        <v>0</v>
      </c>
      <c r="AB105" s="258">
        <f t="shared" si="2"/>
        <v>155</v>
      </c>
      <c r="AC105" s="259" t="str">
        <f>IF(COUNTIF(AD$78:AD105,AD105)=1,MAX(AC$78:AC104)+1,"")</f>
        <v/>
      </c>
      <c r="AD105" s="220">
        <f>'[2]Изложницы без бурта'!B105</f>
        <v>95</v>
      </c>
      <c r="AE105" s="220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572</v>
      </c>
      <c r="AM105" s="56">
        <f>'[2]Изложницы без бурта'!K105</f>
        <v>0</v>
      </c>
      <c r="AR105" s="368">
        <v>413</v>
      </c>
      <c r="AS105" s="375">
        <v>337.5</v>
      </c>
      <c r="AT105" s="368">
        <v>515</v>
      </c>
      <c r="AU105" s="367">
        <v>450</v>
      </c>
      <c r="AV105" s="368">
        <v>470</v>
      </c>
      <c r="AW105" s="368">
        <v>400</v>
      </c>
      <c r="AX105" s="393" t="s">
        <v>519</v>
      </c>
    </row>
    <row r="106" spans="1:50" ht="15.6" thickBot="1" x14ac:dyDescent="0.3">
      <c r="A106" s="1140" t="s">
        <v>204</v>
      </c>
      <c r="B106" s="269"/>
      <c r="C106" s="270" t="s">
        <v>151</v>
      </c>
      <c r="D106" s="270"/>
      <c r="E106" s="270" t="s">
        <v>179</v>
      </c>
      <c r="F106" s="271"/>
      <c r="G106" s="270"/>
      <c r="H106" s="290" t="s">
        <v>180</v>
      </c>
      <c r="I106" s="291"/>
      <c r="L106" s="228">
        <f>[1]Планки!H106</f>
        <v>138</v>
      </c>
      <c r="M106" s="138">
        <f>[1]Планки!I106</f>
        <v>1220</v>
      </c>
      <c r="N106" s="138">
        <f>[1]Планки!J106</f>
        <v>260</v>
      </c>
      <c r="O106" s="229">
        <f>[1]Планки!K106</f>
        <v>960</v>
      </c>
      <c r="P106" s="229">
        <f>[1]Планки!L106</f>
        <v>275</v>
      </c>
      <c r="Q106" s="138">
        <f>[1]Планки!M106</f>
        <v>295</v>
      </c>
      <c r="R106" s="138">
        <f>[1]Планки!N106</f>
        <v>350</v>
      </c>
      <c r="S106" s="229">
        <f>[1]Планки!O106</f>
        <v>120</v>
      </c>
      <c r="T106" s="138">
        <f>[1]Планки!P106</f>
        <v>130</v>
      </c>
      <c r="U106" s="138">
        <f>[1]Планки!Q106</f>
        <v>220</v>
      </c>
      <c r="V106" s="230" t="str">
        <f>[1]Планки!R106</f>
        <v>модель нашита  (L4=60 L5=65 L6=170)</v>
      </c>
      <c r="AB106" s="258">
        <f t="shared" si="0"/>
        <v>157.5</v>
      </c>
      <c r="AC106" s="259" t="str">
        <f>IF(COUNTIF(AD$78:AD106,AD106)=1,MAX(AC$78:AC105)+1,"")</f>
        <v/>
      </c>
      <c r="AD106" s="220">
        <f>'[2]Изложницы без бурта'!B106</f>
        <v>95</v>
      </c>
      <c r="AE106" s="220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572</v>
      </c>
      <c r="AM106" s="56">
        <f>'[2]Изложницы без бурта'!K106</f>
        <v>0</v>
      </c>
      <c r="AR106" s="368">
        <v>410</v>
      </c>
      <c r="AS106" s="368">
        <v>340</v>
      </c>
      <c r="AT106" s="368">
        <v>370</v>
      </c>
      <c r="AU106" s="368">
        <v>295</v>
      </c>
      <c r="AV106" s="368">
        <v>470</v>
      </c>
      <c r="AW106" s="368">
        <v>450</v>
      </c>
      <c r="AX106" s="393" t="s">
        <v>547</v>
      </c>
    </row>
    <row r="107" spans="1:50" ht="15.6" thickBot="1" x14ac:dyDescent="0.3">
      <c r="A107" s="1141">
        <f>VLOOKUP(B30,A73:K78,6,FALSE)</f>
        <v>55</v>
      </c>
      <c r="B107" s="1138">
        <f>IF(A108=0,A107,A108)</f>
        <v>55</v>
      </c>
      <c r="C107" s="275">
        <f>VLOOKUP(H30,A73:K78,3,FALSE)</f>
        <v>20</v>
      </c>
      <c r="D107" s="271"/>
      <c r="E107" s="275">
        <f>VLOOKUP(H30,A73:K78,7,FALSE)</f>
        <v>35</v>
      </c>
      <c r="F107" s="271"/>
      <c r="G107" s="270"/>
      <c r="H107" s="292">
        <f>VLOOKUP(H30,A73:K78,10,FALSE)</f>
        <v>110</v>
      </c>
      <c r="I107" s="291"/>
      <c r="L107" s="228">
        <f>[1]Планки!H107</f>
        <v>26</v>
      </c>
      <c r="M107" s="138">
        <f>[1]Планки!I107</f>
        <v>1200</v>
      </c>
      <c r="N107" s="138">
        <f>[1]Планки!J107</f>
        <v>240</v>
      </c>
      <c r="O107" s="229">
        <f>[1]Планки!K107</f>
        <v>960</v>
      </c>
      <c r="P107" s="229">
        <f>[1]Планки!L107</f>
        <v>305</v>
      </c>
      <c r="Q107" s="138">
        <f>[1]Планки!M107</f>
        <v>325</v>
      </c>
      <c r="R107" s="138">
        <f>[1]Планки!N107</f>
        <v>360</v>
      </c>
      <c r="S107" s="229">
        <f>[1]Планки!O107</f>
        <v>105</v>
      </c>
      <c r="T107" s="138">
        <f>[1]Планки!P107</f>
        <v>118</v>
      </c>
      <c r="U107" s="138">
        <f>[1]Планки!Q107</f>
        <v>215</v>
      </c>
      <c r="V107" s="230" t="str">
        <f>[1]Планки!R107</f>
        <v>модель нашита  (L4=63 L5=70 L6=150)</v>
      </c>
      <c r="AB107" s="258">
        <f t="shared" si="0"/>
        <v>160</v>
      </c>
      <c r="AC107" s="259" t="str">
        <f>IF(COUNTIF(AD$78:AD107,AD107)=1,MAX(AC$78:AC106)+1,"")</f>
        <v/>
      </c>
      <c r="AD107" s="220">
        <f>'[2]Изложницы без бурта'!B107</f>
        <v>95</v>
      </c>
      <c r="AE107" s="220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572</v>
      </c>
      <c r="AM107" s="56">
        <f>'[2]Изложницы без бурта'!K107</f>
        <v>0</v>
      </c>
      <c r="AR107" s="369">
        <v>400</v>
      </c>
      <c r="AS107" s="368">
        <v>357.5</v>
      </c>
      <c r="AT107" s="368">
        <v>200</v>
      </c>
      <c r="AU107" s="368">
        <v>110</v>
      </c>
      <c r="AV107" s="368">
        <v>470</v>
      </c>
      <c r="AW107" s="368">
        <v>450</v>
      </c>
      <c r="AX107" s="393" t="s">
        <v>548</v>
      </c>
    </row>
    <row r="108" spans="1:50" ht="15.6" thickBot="1" x14ac:dyDescent="0.3">
      <c r="A108" s="1142"/>
      <c r="B108" s="1139"/>
      <c r="C108" s="270" t="s">
        <v>152</v>
      </c>
      <c r="D108" s="270"/>
      <c r="E108" s="270" t="s">
        <v>180</v>
      </c>
      <c r="F108" s="271"/>
      <c r="G108" s="270"/>
      <c r="H108" s="290" t="s">
        <v>153</v>
      </c>
      <c r="I108" s="291"/>
      <c r="L108" s="228">
        <f>[1]Планки!H108</f>
        <v>40</v>
      </c>
      <c r="M108" s="138">
        <f>[1]Планки!I108</f>
        <v>1170</v>
      </c>
      <c r="N108" s="138">
        <f>[1]Планки!J108</f>
        <v>170</v>
      </c>
      <c r="O108" s="229">
        <f>[1]Планки!K108</f>
        <v>1000</v>
      </c>
      <c r="P108" s="229">
        <f>[1]Планки!L108</f>
        <v>635</v>
      </c>
      <c r="Q108" s="138">
        <f>[1]Планки!M108</f>
        <v>650</v>
      </c>
      <c r="R108" s="138">
        <f>[1]Планки!N108</f>
        <v>690</v>
      </c>
      <c r="S108" s="229">
        <f>[1]Планки!O108</f>
        <v>55</v>
      </c>
      <c r="T108" s="138">
        <f>[1]Планки!P108</f>
        <v>75</v>
      </c>
      <c r="U108" s="138">
        <f>[1]Планки!Q108</f>
        <v>140</v>
      </c>
      <c r="V108" s="230" t="str">
        <f>[1]Планки!R108</f>
        <v>модель нашита  (L4=35 L5=47 L6=125 L1=410 L2=433 L3=470 H=1160 h2=990)</v>
      </c>
      <c r="AB108" s="258">
        <f t="shared" si="0"/>
        <v>162.5</v>
      </c>
      <c r="AC108" s="259" t="str">
        <f>IF(COUNTIF(AD$78:AD108,AD108)=1,MAX(AC$78:AC107)+1,"")</f>
        <v/>
      </c>
      <c r="AD108" s="220">
        <f>'[2]Изложницы без бурта'!B108</f>
        <v>95</v>
      </c>
      <c r="AE108" s="220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572</v>
      </c>
      <c r="AM108" s="56">
        <f>'[2]Изложницы без бурта'!K108</f>
        <v>0</v>
      </c>
      <c r="AR108" s="376">
        <v>394</v>
      </c>
      <c r="AS108" s="377">
        <v>365</v>
      </c>
      <c r="AT108" s="368">
        <v>297</v>
      </c>
      <c r="AU108" s="368">
        <v>180</v>
      </c>
      <c r="AV108" s="368">
        <v>470</v>
      </c>
      <c r="AW108" s="368">
        <v>450</v>
      </c>
      <c r="AX108" s="393" t="s">
        <v>549</v>
      </c>
    </row>
    <row r="109" spans="1:50" ht="16.2" thickBot="1" x14ac:dyDescent="0.35">
      <c r="A109" s="1144" t="s">
        <v>89</v>
      </c>
      <c r="B109" s="269"/>
      <c r="C109" s="275">
        <f>VLOOKUP(H30,A73:K78,4,FALSE)</f>
        <v>17</v>
      </c>
      <c r="D109" s="277">
        <f>(C107+C109)/2</f>
        <v>18.5</v>
      </c>
      <c r="E109" s="275">
        <f>VLOOKUP(H30,A73:K78,8,FALSE)</f>
        <v>28</v>
      </c>
      <c r="F109" s="270">
        <f>(E107+E109)/2</f>
        <v>31.5</v>
      </c>
      <c r="G109" s="271"/>
      <c r="H109" s="292">
        <f>VLOOKUP(H30,A73:K78,11,FALSE)</f>
        <v>90</v>
      </c>
      <c r="I109" s="291"/>
      <c r="L109" s="228">
        <f>[1]Планки!H109</f>
        <v>109</v>
      </c>
      <c r="M109" s="138">
        <f>[1]Планки!I109</f>
        <v>1115</v>
      </c>
      <c r="N109" s="138">
        <f>[1]Планки!J109</f>
        <v>120</v>
      </c>
      <c r="O109" s="229">
        <f>[1]Планки!K109</f>
        <v>995</v>
      </c>
      <c r="P109" s="229">
        <f>[1]Планки!L109</f>
        <v>100</v>
      </c>
      <c r="Q109" s="138">
        <f>[1]Планки!M109</f>
        <v>110</v>
      </c>
      <c r="R109" s="138">
        <f>[1]Планки!N109</f>
        <v>150</v>
      </c>
      <c r="S109" s="229">
        <f>[1]Планки!O109</f>
        <v>35</v>
      </c>
      <c r="T109" s="138">
        <f>[1]Планки!P109</f>
        <v>45</v>
      </c>
      <c r="U109" s="138">
        <f>[1]Планки!Q109</f>
        <v>105</v>
      </c>
      <c r="V109" s="230">
        <f>[1]Планки!R109</f>
        <v>0</v>
      </c>
      <c r="AB109" s="258">
        <f t="shared" si="0"/>
        <v>165</v>
      </c>
      <c r="AC109" s="259" t="str">
        <f>IF(COUNTIF(AD$78:AD109,AD109)=1,MAX(AC$78:AC108)+1,"")</f>
        <v/>
      </c>
      <c r="AD109" s="220">
        <f>'[2]Изложницы без бурта'!B109</f>
        <v>95</v>
      </c>
      <c r="AE109" s="220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572</v>
      </c>
      <c r="AM109" s="56">
        <f>'[2]Изложницы без бурта'!K109</f>
        <v>0</v>
      </c>
      <c r="AR109" s="367">
        <v>409</v>
      </c>
      <c r="AS109" s="368">
        <v>365</v>
      </c>
      <c r="AT109" s="368">
        <v>295</v>
      </c>
      <c r="AU109" s="368">
        <v>180</v>
      </c>
      <c r="AV109" s="368">
        <v>470</v>
      </c>
      <c r="AW109" s="368">
        <v>450</v>
      </c>
      <c r="AX109" s="393" t="s">
        <v>550</v>
      </c>
    </row>
    <row r="110" spans="1:50" ht="15" x14ac:dyDescent="0.25">
      <c r="A110" s="1141">
        <f>Втулка!N5+Втулка!N8</f>
        <v>559</v>
      </c>
      <c r="B110" s="1138">
        <f>IF(A111=0,A110,A111)</f>
        <v>559</v>
      </c>
      <c r="C110" s="270" t="s">
        <v>153</v>
      </c>
      <c r="D110" s="270"/>
      <c r="E110" s="270" t="s">
        <v>205</v>
      </c>
      <c r="F110" s="270"/>
      <c r="G110" s="271"/>
      <c r="H110" s="293" t="s">
        <v>220</v>
      </c>
      <c r="I110" s="291"/>
      <c r="L110" s="228">
        <f>[1]Планки!H110</f>
        <v>1</v>
      </c>
      <c r="M110" s="138">
        <f>[1]Планки!I110</f>
        <v>1160</v>
      </c>
      <c r="N110" s="138">
        <f>[1]Планки!J110</f>
        <v>145</v>
      </c>
      <c r="O110" s="229">
        <f>[1]Планки!K110</f>
        <v>1015</v>
      </c>
      <c r="P110" s="229">
        <f>[1]Планки!L110</f>
        <v>280</v>
      </c>
      <c r="Q110" s="138">
        <f>[1]Планки!M110</f>
        <v>290</v>
      </c>
      <c r="R110" s="138">
        <f>[1]Планки!N110</f>
        <v>330</v>
      </c>
      <c r="S110" s="229">
        <f>[1]Планки!O110</f>
        <v>45</v>
      </c>
      <c r="T110" s="138">
        <f>[1]Планки!P110</f>
        <v>55</v>
      </c>
      <c r="U110" s="138">
        <f>[1]Планки!Q110</f>
        <v>115</v>
      </c>
      <c r="V110" s="230" t="str">
        <f>[1]Планки!R110</f>
        <v>модель нашита  (L4=35 L5=45 L6=105)</v>
      </c>
      <c r="AB110" s="258">
        <f t="shared" si="0"/>
        <v>167.5</v>
      </c>
      <c r="AC110" s="259" t="str">
        <f>IF(COUNTIF(AD$78:AD110,AD110)=1,MAX(AC$78:AC109)+1,"")</f>
        <v/>
      </c>
      <c r="AD110" s="220">
        <f>'[2]Изложницы без бурта'!B110</f>
        <v>95</v>
      </c>
      <c r="AE110" s="220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572</v>
      </c>
      <c r="AM110" s="56">
        <f>'[2]Изложницы без бурта'!K110</f>
        <v>0</v>
      </c>
      <c r="AR110" s="368">
        <v>390</v>
      </c>
      <c r="AS110" s="368">
        <v>365</v>
      </c>
      <c r="AT110" s="368">
        <v>295</v>
      </c>
      <c r="AU110" s="368">
        <v>180</v>
      </c>
      <c r="AV110" s="368">
        <v>470</v>
      </c>
      <c r="AW110" s="368">
        <v>450</v>
      </c>
      <c r="AX110" s="393" t="s">
        <v>549</v>
      </c>
    </row>
    <row r="111" spans="1:50" ht="16.2" thickBot="1" x14ac:dyDescent="0.35">
      <c r="A111" s="1142"/>
      <c r="B111" s="1143">
        <f>Втулка!N6</f>
        <v>7.5</v>
      </c>
      <c r="C111" s="275">
        <f>VLOOKUP(H30,A73:K78,5,FALSE)</f>
        <v>23</v>
      </c>
      <c r="D111" s="277">
        <f>C111</f>
        <v>23</v>
      </c>
      <c r="E111" s="275">
        <f>VLOOKUP(H30,A73:K78,9,FALSE)</f>
        <v>40</v>
      </c>
      <c r="F111" s="270">
        <f>E111</f>
        <v>40</v>
      </c>
      <c r="G111" s="271"/>
      <c r="H111" s="271">
        <f>(H107*H107*3.1415926*H109*B111/4000000)*2</f>
        <v>12.82947878025</v>
      </c>
      <c r="I111" s="291"/>
      <c r="L111" s="228">
        <f>[1]Планки!H111</f>
        <v>39</v>
      </c>
      <c r="M111" s="138">
        <f>[1]Планки!I111</f>
        <v>1220</v>
      </c>
      <c r="N111" s="138">
        <f>[1]Планки!J111</f>
        <v>180</v>
      </c>
      <c r="O111" s="229">
        <f>[1]Планки!K111</f>
        <v>1040</v>
      </c>
      <c r="P111" s="229">
        <f>[1]Планки!L111</f>
        <v>405</v>
      </c>
      <c r="Q111" s="138">
        <f>[1]Планки!M111</f>
        <v>420</v>
      </c>
      <c r="R111" s="138">
        <f>[1]Планки!N111</f>
        <v>460</v>
      </c>
      <c r="S111" s="229">
        <f>[1]Планки!O111</f>
        <v>70</v>
      </c>
      <c r="T111" s="138">
        <f>[1]Планки!P111</f>
        <v>80</v>
      </c>
      <c r="U111" s="138">
        <f>[1]Планки!Q111</f>
        <v>150</v>
      </c>
      <c r="V111" s="230" t="str">
        <f>[1]Планки!R111</f>
        <v>модель нашита  (L4=32 L5=40 L6=115)</v>
      </c>
      <c r="AB111" s="258">
        <f t="shared" si="0"/>
        <v>170</v>
      </c>
      <c r="AC111" s="259" t="str">
        <f>IF(COUNTIF(AD$78:AD111,AD111)=1,MAX(AC$78:AC110)+1,"")</f>
        <v/>
      </c>
      <c r="AD111" s="220">
        <f>'[2]Изложницы без бурта'!B111</f>
        <v>95</v>
      </c>
      <c r="AE111" s="220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572</v>
      </c>
      <c r="AM111" s="56">
        <f>'[2]Изложницы без бурта'!K111</f>
        <v>0</v>
      </c>
      <c r="AR111" s="368">
        <v>455</v>
      </c>
      <c r="AS111" s="368">
        <v>370</v>
      </c>
      <c r="AT111" s="368">
        <v>330</v>
      </c>
      <c r="AU111" s="368">
        <v>260</v>
      </c>
      <c r="AV111" s="368">
        <v>520</v>
      </c>
      <c r="AW111" s="368">
        <v>400</v>
      </c>
      <c r="AX111" s="393" t="s">
        <v>551</v>
      </c>
    </row>
    <row r="112" spans="1:50" ht="15.6" x14ac:dyDescent="0.3">
      <c r="A112" s="1145"/>
      <c r="B112" s="280">
        <f>B107*B107*3.1415926*B110*B111/4000000</f>
        <v>9.9606647752218755</v>
      </c>
      <c r="C112" s="281" t="s">
        <v>89</v>
      </c>
      <c r="D112" s="270"/>
      <c r="E112" s="281" t="s">
        <v>206</v>
      </c>
      <c r="F112" s="270"/>
      <c r="G112" s="271"/>
      <c r="H112" s="271"/>
      <c r="I112" s="291"/>
      <c r="L112" s="228">
        <f>[1]Планки!H112</f>
        <v>2</v>
      </c>
      <c r="M112" s="138">
        <f>[1]Планки!I112</f>
        <v>1235</v>
      </c>
      <c r="N112" s="138">
        <f>[1]Планки!J112</f>
        <v>180</v>
      </c>
      <c r="O112" s="229">
        <f>[1]Планки!K112</f>
        <v>1055</v>
      </c>
      <c r="P112" s="229">
        <f>[1]Планки!L112</f>
        <v>300</v>
      </c>
      <c r="Q112" s="138">
        <f>[1]Планки!M112</f>
        <v>320</v>
      </c>
      <c r="R112" s="138">
        <f>[1]Планки!N112</f>
        <v>360</v>
      </c>
      <c r="S112" s="229">
        <f>[1]Планки!O112</f>
        <v>47</v>
      </c>
      <c r="T112" s="138">
        <f>[1]Планки!P112</f>
        <v>60</v>
      </c>
      <c r="U112" s="138">
        <f>[1]Планки!Q112</f>
        <v>130</v>
      </c>
      <c r="V112" s="230" t="str">
        <f>[1]Планки!R112</f>
        <v>модель нашита  (L4=42 L5=55 L6=125)</v>
      </c>
      <c r="AB112" s="258">
        <f t="shared" si="0"/>
        <v>172.5</v>
      </c>
      <c r="AC112" s="259" t="str">
        <f>IF(COUNTIF(AD$78:AD112,AD112)=1,MAX(AC$78:AC111)+1,"")</f>
        <v/>
      </c>
      <c r="AD112" s="220">
        <f>'[2]Изложницы без бурта'!B112</f>
        <v>95</v>
      </c>
      <c r="AE112" s="220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572</v>
      </c>
      <c r="AM112" s="56">
        <f>'[2]Изложницы без бурта'!K112</f>
        <v>0</v>
      </c>
      <c r="AR112" s="368">
        <v>388</v>
      </c>
      <c r="AS112" s="368">
        <v>372.5</v>
      </c>
      <c r="AT112" s="368">
        <v>170</v>
      </c>
      <c r="AU112" s="368">
        <v>135</v>
      </c>
      <c r="AV112" s="368">
        <v>470</v>
      </c>
      <c r="AW112" s="368">
        <v>400</v>
      </c>
      <c r="AX112" s="393" t="s">
        <v>552</v>
      </c>
    </row>
    <row r="113" spans="1:50" ht="15.6" x14ac:dyDescent="0.3">
      <c r="A113" s="276"/>
      <c r="B113" s="270"/>
      <c r="C113" s="275">
        <v>100</v>
      </c>
      <c r="D113" s="277">
        <f>C113</f>
        <v>100</v>
      </c>
      <c r="E113" s="275">
        <f>Втулка!N3</f>
        <v>323</v>
      </c>
      <c r="F113" s="282">
        <f>2*3.1415926*E116/2</f>
        <v>1454.5573738000001</v>
      </c>
      <c r="G113" s="271"/>
      <c r="H113" s="271"/>
      <c r="I113" s="291"/>
      <c r="L113" s="228">
        <f>[1]Планки!H113</f>
        <v>48</v>
      </c>
      <c r="M113" s="138">
        <f>[1]Планки!I113</f>
        <v>1210</v>
      </c>
      <c r="N113" s="138">
        <f>[1]Планки!J113</f>
        <v>150</v>
      </c>
      <c r="O113" s="229">
        <f>[1]Планки!K113</f>
        <v>1060</v>
      </c>
      <c r="P113" s="229">
        <f>[1]Планки!L113</f>
        <v>140</v>
      </c>
      <c r="Q113" s="138">
        <f>[1]Планки!M113</f>
        <v>157</v>
      </c>
      <c r="R113" s="138">
        <f>[1]Планки!N113</f>
        <v>185</v>
      </c>
      <c r="S113" s="229">
        <f>[1]Планки!O113</f>
        <v>35</v>
      </c>
      <c r="T113" s="138">
        <f>[1]Планки!P113</f>
        <v>50</v>
      </c>
      <c r="U113" s="138">
        <f>[1]Планки!Q113</f>
        <v>110</v>
      </c>
      <c r="V113" s="230" t="str">
        <f>[1]Планки!R113</f>
        <v>модель нашита  (L4=25 L5=40 L6=100)</v>
      </c>
      <c r="AB113" s="258">
        <f t="shared" si="0"/>
        <v>175</v>
      </c>
      <c r="AC113" s="259" t="str">
        <f>IF(COUNTIF(AD$78:AD113,AD113)=1,MAX(AC$78:AC112)+1,"")</f>
        <v/>
      </c>
      <c r="AD113" s="220">
        <f>'[2]Изложницы без бурта'!B113</f>
        <v>95</v>
      </c>
      <c r="AE113" s="220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572</v>
      </c>
      <c r="AM113" s="56">
        <f>'[2]Изложницы без бурта'!K113</f>
        <v>0</v>
      </c>
      <c r="AR113" s="368">
        <v>388</v>
      </c>
      <c r="AS113" s="368">
        <v>372.5</v>
      </c>
      <c r="AT113" s="368">
        <v>170</v>
      </c>
      <c r="AU113" s="368">
        <v>135</v>
      </c>
      <c r="AV113" s="368">
        <v>470</v>
      </c>
      <c r="AW113" s="368">
        <v>400</v>
      </c>
      <c r="AX113" s="393" t="s">
        <v>552</v>
      </c>
    </row>
    <row r="114" spans="1:50" ht="15" x14ac:dyDescent="0.25">
      <c r="A114" s="276"/>
      <c r="B114" s="271"/>
      <c r="C114" s="281" t="s">
        <v>175</v>
      </c>
      <c r="D114" s="270"/>
      <c r="E114" s="281" t="s">
        <v>207</v>
      </c>
      <c r="F114" s="270"/>
      <c r="G114" s="281" t="s">
        <v>208</v>
      </c>
      <c r="H114" s="271"/>
      <c r="I114" s="291"/>
      <c r="L114" s="228">
        <f>[1]Планки!H114</f>
        <v>37</v>
      </c>
      <c r="M114" s="138">
        <f>[1]Планки!I114</f>
        <v>1230</v>
      </c>
      <c r="N114" s="138">
        <f>[1]Планки!J114</f>
        <v>165</v>
      </c>
      <c r="O114" s="229">
        <f>[1]Планки!K114</f>
        <v>1065</v>
      </c>
      <c r="P114" s="229">
        <f>[1]Планки!L114</f>
        <v>338</v>
      </c>
      <c r="Q114" s="138">
        <f>[1]Планки!M114</f>
        <v>360</v>
      </c>
      <c r="R114" s="138">
        <f>[1]Планки!N114</f>
        <v>410</v>
      </c>
      <c r="S114" s="229">
        <f>[1]Планки!O114</f>
        <v>65</v>
      </c>
      <c r="T114" s="138">
        <f>[1]Планки!P114</f>
        <v>76</v>
      </c>
      <c r="U114" s="138">
        <f>[1]Планки!Q114</f>
        <v>200</v>
      </c>
      <c r="V114" s="230" t="str">
        <f>[1]Планки!R114</f>
        <v>Уточнить наличие, Котов, 08.06.23</v>
      </c>
      <c r="AB114" s="258">
        <f t="shared" si="0"/>
        <v>177.5</v>
      </c>
      <c r="AC114" s="259" t="str">
        <f>IF(COUNTIF(AD$78:AD114,AD114)=1,MAX(AC$78:AC113)+1,"")</f>
        <v/>
      </c>
      <c r="AD114" s="220">
        <f>'[2]Изложницы без бурта'!B114</f>
        <v>95</v>
      </c>
      <c r="AE114" s="220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572</v>
      </c>
      <c r="AM114" s="56">
        <f>'[2]Изложницы без бурта'!K114</f>
        <v>0</v>
      </c>
      <c r="AR114" s="368">
        <v>388</v>
      </c>
      <c r="AS114" s="368">
        <v>375</v>
      </c>
      <c r="AT114" s="368">
        <v>170</v>
      </c>
      <c r="AU114" s="368">
        <v>137</v>
      </c>
      <c r="AV114" s="368">
        <v>470</v>
      </c>
      <c r="AW114" s="368">
        <v>400</v>
      </c>
      <c r="AX114" s="393" t="s">
        <v>552</v>
      </c>
    </row>
    <row r="115" spans="1:50" ht="15.6" x14ac:dyDescent="0.3">
      <c r="A115" s="276"/>
      <c r="B115" s="271"/>
      <c r="C115" s="275">
        <f>VLOOKUP(H30,A73:K78,2,FALSE)</f>
        <v>4</v>
      </c>
      <c r="D115" s="277">
        <f>C115</f>
        <v>4</v>
      </c>
      <c r="E115" s="281" t="s">
        <v>209</v>
      </c>
      <c r="F115" s="270"/>
      <c r="G115" s="275">
        <v>250</v>
      </c>
      <c r="H115" s="271"/>
      <c r="I115" s="291"/>
      <c r="L115" s="228">
        <f>[1]Планки!H115</f>
        <v>29</v>
      </c>
      <c r="M115" s="138">
        <f>[1]Планки!I115</f>
        <v>1215</v>
      </c>
      <c r="N115" s="138">
        <f>[1]Планки!J115</f>
        <v>140</v>
      </c>
      <c r="O115" s="229">
        <f>[1]Планки!K115</f>
        <v>1075</v>
      </c>
      <c r="P115" s="229">
        <f>[1]Планки!L115</f>
        <v>235</v>
      </c>
      <c r="Q115" s="138">
        <f>[1]Планки!M115</f>
        <v>250</v>
      </c>
      <c r="R115" s="138">
        <f>[1]Планки!N115</f>
        <v>285</v>
      </c>
      <c r="S115" s="229">
        <f>[1]Планки!O115</f>
        <v>45</v>
      </c>
      <c r="T115" s="138">
        <f>[1]Планки!P115</f>
        <v>58</v>
      </c>
      <c r="U115" s="138">
        <f>[1]Планки!Q115</f>
        <v>110</v>
      </c>
      <c r="V115" s="230" t="str">
        <f>[1]Планки!R115</f>
        <v>модель нашита  (L4=24 L5=35 L6=90)</v>
      </c>
      <c r="AB115" s="258">
        <f t="shared" si="0"/>
        <v>180</v>
      </c>
      <c r="AC115" s="259" t="str">
        <f>IF(COUNTIF(AD$78:AD115,AD115)=1,MAX(AC$78:AC114)+1,"")</f>
        <v/>
      </c>
      <c r="AD115" s="220">
        <f>'[2]Изложницы без бурта'!B115</f>
        <v>95</v>
      </c>
      <c r="AE115" s="220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572</v>
      </c>
      <c r="AM115" s="56">
        <f>'[2]Изложницы без бурта'!K115</f>
        <v>0</v>
      </c>
      <c r="AR115" s="368">
        <v>388</v>
      </c>
      <c r="AS115" s="368">
        <v>375</v>
      </c>
      <c r="AT115" s="368">
        <v>170</v>
      </c>
      <c r="AU115" s="368">
        <v>135</v>
      </c>
      <c r="AV115" s="368">
        <v>470</v>
      </c>
      <c r="AW115" s="368">
        <v>400</v>
      </c>
      <c r="AX115" s="393" t="s">
        <v>552</v>
      </c>
    </row>
    <row r="116" spans="1:50" ht="15" x14ac:dyDescent="0.25">
      <c r="A116" s="276"/>
      <c r="B116" s="271"/>
      <c r="C116" s="271"/>
      <c r="D116" s="278">
        <f>Втулка!N6</f>
        <v>7.5</v>
      </c>
      <c r="E116" s="270">
        <f>E113+C113+E111</f>
        <v>463</v>
      </c>
      <c r="F116" s="278">
        <f>Втулка!N6</f>
        <v>7.5</v>
      </c>
      <c r="G116" s="270" t="s">
        <v>210</v>
      </c>
      <c r="H116" s="271"/>
      <c r="I116" s="291"/>
      <c r="L116" s="228">
        <f>[1]Планки!H116</f>
        <v>112</v>
      </c>
      <c r="M116" s="138">
        <f>[1]Планки!I116</f>
        <v>1280</v>
      </c>
      <c r="N116" s="138">
        <f>[1]Планки!J116</f>
        <v>200</v>
      </c>
      <c r="O116" s="229">
        <f>[1]Планки!K116</f>
        <v>1095</v>
      </c>
      <c r="P116" s="229">
        <f>[1]Планки!L116</f>
        <v>335</v>
      </c>
      <c r="Q116" s="138">
        <f>[1]Планки!M116</f>
        <v>360</v>
      </c>
      <c r="R116" s="138">
        <f>[1]Планки!N116</f>
        <v>400</v>
      </c>
      <c r="S116" s="229">
        <f>[1]Планки!O116</f>
        <v>55</v>
      </c>
      <c r="T116" s="138">
        <f>[1]Планки!P116</f>
        <v>80</v>
      </c>
      <c r="U116" s="138">
        <f>[1]Планки!Q116</f>
        <v>155</v>
      </c>
      <c r="V116" s="230" t="str">
        <f>[1]Планки!R116</f>
        <v>модель нашита  (L4=30 L5=55 L6=130)</v>
      </c>
      <c r="AB116" s="258">
        <f t="shared" si="0"/>
        <v>182.5</v>
      </c>
      <c r="AC116" s="259" t="str">
        <f>IF(COUNTIF(AD$78:AD116,AD116)=1,MAX(AC$78:AC115)+1,"")</f>
        <v/>
      </c>
      <c r="AD116" s="220">
        <f>'[2]Изложницы без бурта'!B116</f>
        <v>95</v>
      </c>
      <c r="AE116" s="220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572</v>
      </c>
      <c r="AM116" s="56">
        <f>'[2]Изложницы без бурта'!K116</f>
        <v>0</v>
      </c>
      <c r="AR116" s="368">
        <v>495</v>
      </c>
      <c r="AS116" s="368">
        <v>382.5</v>
      </c>
      <c r="AT116" s="368">
        <v>578</v>
      </c>
      <c r="AU116" s="368">
        <v>510</v>
      </c>
      <c r="AV116" s="368">
        <v>520</v>
      </c>
      <c r="AW116" s="368">
        <v>400</v>
      </c>
      <c r="AX116" s="393" t="s">
        <v>553</v>
      </c>
    </row>
    <row r="117" spans="1:50" ht="16.2" thickBot="1" x14ac:dyDescent="0.35">
      <c r="A117" s="283"/>
      <c r="B117" s="284"/>
      <c r="C117" s="284"/>
      <c r="D117" s="285">
        <f>D109*D111*D113*D115*D116/1000000</f>
        <v>1.2765</v>
      </c>
      <c r="E117" s="284"/>
      <c r="F117" s="286">
        <f>F109*F111*F113*F116/1000000</f>
        <v>13.745567182410001</v>
      </c>
      <c r="G117" s="285">
        <f>F117/360*G115</f>
        <v>9.545532765562502</v>
      </c>
      <c r="H117" s="294"/>
      <c r="I117" s="287">
        <f>B112+D117+G117+H111</f>
        <v>33.612176321034376</v>
      </c>
      <c r="L117" s="228">
        <f>[1]Планки!H117</f>
        <v>108</v>
      </c>
      <c r="M117" s="138">
        <f>[1]Планки!I117</f>
        <v>1305</v>
      </c>
      <c r="N117" s="138">
        <f>[1]Планки!J117</f>
        <v>185</v>
      </c>
      <c r="O117" s="229">
        <f>[1]Планки!K117</f>
        <v>1120</v>
      </c>
      <c r="P117" s="229">
        <f>[1]Планки!L117</f>
        <v>240</v>
      </c>
      <c r="Q117" s="138">
        <f>[1]Планки!M117</f>
        <v>260</v>
      </c>
      <c r="R117" s="138">
        <f>[1]Планки!N117</f>
        <v>295</v>
      </c>
      <c r="S117" s="229">
        <f>[1]Планки!O117</f>
        <v>32</v>
      </c>
      <c r="T117" s="138">
        <f>[1]Планки!P117</f>
        <v>41</v>
      </c>
      <c r="U117" s="138">
        <f>[1]Планки!Q117</f>
        <v>110</v>
      </c>
      <c r="V117" s="230">
        <f>[1]Планки!R117</f>
        <v>0</v>
      </c>
      <c r="AB117" s="258">
        <f t="shared" si="0"/>
        <v>185</v>
      </c>
      <c r="AC117" s="259" t="str">
        <f>IF(COUNTIF(AD$78:AD117,AD117)=1,MAX(AC$78:AC116)+1,"")</f>
        <v/>
      </c>
      <c r="AD117" s="220">
        <f>'[2]Изложницы без бурта'!B117</f>
        <v>95</v>
      </c>
      <c r="AE117" s="220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572</v>
      </c>
      <c r="AM117" s="56">
        <f>'[2]Изложницы без бурта'!K117</f>
        <v>0</v>
      </c>
      <c r="AR117" s="368">
        <v>420</v>
      </c>
      <c r="AS117" s="368">
        <v>382.5</v>
      </c>
      <c r="AT117" s="368">
        <v>357</v>
      </c>
      <c r="AU117" s="368">
        <v>230</v>
      </c>
      <c r="AV117" s="368">
        <v>500</v>
      </c>
      <c r="AW117" s="368">
        <v>400</v>
      </c>
      <c r="AX117" s="393" t="s">
        <v>554</v>
      </c>
    </row>
    <row r="118" spans="1:50" ht="14.4" x14ac:dyDescent="0.25">
      <c r="L118" s="228">
        <f>[1]Планки!H118</f>
        <v>24</v>
      </c>
      <c r="M118" s="138">
        <f>[1]Планки!I118</f>
        <v>1305</v>
      </c>
      <c r="N118" s="138">
        <f>[1]Планки!J118</f>
        <v>165</v>
      </c>
      <c r="O118" s="229">
        <f>[1]Планки!K118</f>
        <v>1140</v>
      </c>
      <c r="P118" s="229">
        <f>[1]Планки!L118</f>
        <v>195</v>
      </c>
      <c r="Q118" s="138">
        <f>[1]Планки!M118</f>
        <v>200</v>
      </c>
      <c r="R118" s="138">
        <f>[1]Планки!N118</f>
        <v>240</v>
      </c>
      <c r="S118" s="229">
        <f>[1]Планки!O118</f>
        <v>30</v>
      </c>
      <c r="T118" s="138">
        <f>[1]Планки!P118</f>
        <v>42</v>
      </c>
      <c r="U118" s="138">
        <f>[1]Планки!Q118</f>
        <v>75</v>
      </c>
      <c r="V118" s="230" t="str">
        <f>[1]Планки!R118</f>
        <v>модель нашита  (L4=25 L5=37 L6=70)</v>
      </c>
      <c r="AB118" s="258">
        <f t="shared" si="0"/>
        <v>187.5</v>
      </c>
      <c r="AC118" s="259" t="str">
        <f>IF(COUNTIF(AD$78:AD118,AD118)=1,MAX(AC$78:AC117)+1,"")</f>
        <v/>
      </c>
      <c r="AD118" s="220">
        <f>'[2]Изложницы без бурта'!B118</f>
        <v>95</v>
      </c>
      <c r="AE118" s="220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572</v>
      </c>
      <c r="AM118" s="56">
        <f>'[2]Изложницы без бурта'!K118</f>
        <v>0</v>
      </c>
      <c r="AR118" s="368">
        <v>457</v>
      </c>
      <c r="AS118" s="368">
        <v>390</v>
      </c>
      <c r="AT118" s="368">
        <v>410</v>
      </c>
      <c r="AU118" s="368">
        <v>340</v>
      </c>
      <c r="AV118" s="368">
        <v>520</v>
      </c>
      <c r="AW118" s="368">
        <v>400</v>
      </c>
      <c r="AX118" s="393" t="s">
        <v>520</v>
      </c>
    </row>
    <row r="119" spans="1:50" ht="15" thickBot="1" x14ac:dyDescent="0.3">
      <c r="A119" s="56" t="s">
        <v>214</v>
      </c>
      <c r="I119" s="366" t="s">
        <v>764</v>
      </c>
      <c r="J119" s="366"/>
      <c r="L119" s="228">
        <f>[1]Планки!H119</f>
        <v>119</v>
      </c>
      <c r="M119" s="138">
        <f>[1]Планки!I119</f>
        <v>1470</v>
      </c>
      <c r="N119" s="138">
        <f>[1]Планки!J119</f>
        <v>280</v>
      </c>
      <c r="O119" s="229">
        <f>[1]Планки!K119</f>
        <v>1190</v>
      </c>
      <c r="P119" s="229">
        <f>[1]Планки!L119</f>
        <v>220</v>
      </c>
      <c r="Q119" s="138">
        <f>[1]Планки!M119</f>
        <v>235</v>
      </c>
      <c r="R119" s="138">
        <f>[1]Планки!N119</f>
        <v>285</v>
      </c>
      <c r="S119" s="229">
        <f>[1]Планки!O119</f>
        <v>51</v>
      </c>
      <c r="T119" s="138">
        <f>[1]Планки!P119</f>
        <v>60</v>
      </c>
      <c r="U119" s="138">
        <f>[1]Планки!Q119</f>
        <v>150</v>
      </c>
      <c r="V119" s="230">
        <f>[1]Планки!R119</f>
        <v>0</v>
      </c>
      <c r="AB119" s="258">
        <f t="shared" si="0"/>
        <v>190</v>
      </c>
      <c r="AC119" s="259" t="str">
        <f>IF(COUNTIF(AD$78:AD119,AD119)=1,MAX(AC$78:AC118)+1,"")</f>
        <v/>
      </c>
      <c r="AD119" s="220">
        <f>'[2]Изложницы без бурта'!B119</f>
        <v>95</v>
      </c>
      <c r="AE119" s="220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572</v>
      </c>
      <c r="AM119" s="56">
        <f>'[2]Изложницы без бурта'!K119</f>
        <v>0</v>
      </c>
      <c r="AR119" s="368">
        <v>430</v>
      </c>
      <c r="AS119" s="368">
        <v>390</v>
      </c>
      <c r="AT119" s="368">
        <v>265</v>
      </c>
      <c r="AU119" s="369">
        <v>150</v>
      </c>
      <c r="AV119" s="368">
        <v>500</v>
      </c>
      <c r="AW119" s="368">
        <v>400</v>
      </c>
      <c r="AX119" s="393" t="s">
        <v>521</v>
      </c>
    </row>
    <row r="120" spans="1:50" ht="16.2" thickBot="1" x14ac:dyDescent="0.35">
      <c r="A120" s="262" t="s">
        <v>215</v>
      </c>
      <c r="B120" s="264"/>
      <c r="C120" s="264" t="s">
        <v>150</v>
      </c>
      <c r="D120" s="264"/>
      <c r="E120" s="264" t="s">
        <v>216</v>
      </c>
      <c r="F120" s="264"/>
      <c r="G120" s="295" t="s">
        <v>203</v>
      </c>
      <c r="H120" s="296"/>
      <c r="I120" s="396">
        <v>1.5</v>
      </c>
      <c r="J120" s="396"/>
      <c r="L120" s="228">
        <f>[1]Планки!H120</f>
        <v>41</v>
      </c>
      <c r="M120" s="138">
        <f>[1]Планки!I120</f>
        <v>1470</v>
      </c>
      <c r="N120" s="138">
        <f>[1]Планки!J120</f>
        <v>280</v>
      </c>
      <c r="O120" s="229">
        <f>[1]Планки!K120</f>
        <v>1190</v>
      </c>
      <c r="P120" s="229">
        <f>[1]Планки!L120</f>
        <v>223</v>
      </c>
      <c r="Q120" s="138">
        <f>[1]Планки!M120</f>
        <v>237</v>
      </c>
      <c r="R120" s="138">
        <f>[1]Планки!N120</f>
        <v>290</v>
      </c>
      <c r="S120" s="229">
        <f>[1]Планки!O120</f>
        <v>60</v>
      </c>
      <c r="T120" s="138">
        <f>[1]Планки!P120</f>
        <v>73</v>
      </c>
      <c r="U120" s="138">
        <f>[1]Планки!Q120</f>
        <v>185</v>
      </c>
      <c r="V120" s="230" t="str">
        <f>[1]Планки!R120</f>
        <v>модель нашита  (L4=55 L5=68 L6=180)</v>
      </c>
      <c r="AB120" s="258">
        <f t="shared" si="0"/>
        <v>192.5</v>
      </c>
      <c r="AC120" s="259">
        <f>IF(COUNTIF(AD$78:AD120,AD120)=1,MAX(AC$78:AC119)+1,"")</f>
        <v>6</v>
      </c>
      <c r="AD120" s="220">
        <f>'[2]Изложницы без бурта'!B120</f>
        <v>100</v>
      </c>
      <c r="AE120" s="220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573</v>
      </c>
      <c r="AM120" s="56">
        <f>'[2]Изложницы без бурта'!K120</f>
        <v>0</v>
      </c>
      <c r="AR120" s="368">
        <v>495</v>
      </c>
      <c r="AS120" s="368">
        <v>415</v>
      </c>
      <c r="AT120" s="375">
        <v>235</v>
      </c>
      <c r="AU120" s="376">
        <v>155</v>
      </c>
      <c r="AV120" s="377">
        <v>550</v>
      </c>
      <c r="AW120" s="368">
        <v>400</v>
      </c>
      <c r="AX120" s="393" t="s">
        <v>555</v>
      </c>
    </row>
    <row r="121" spans="1:50" ht="15" x14ac:dyDescent="0.25">
      <c r="A121" s="297" t="s">
        <v>217</v>
      </c>
      <c r="B121" s="298"/>
      <c r="C121" s="270" t="s">
        <v>179</v>
      </c>
      <c r="D121" s="298"/>
      <c r="E121" s="298" t="s">
        <v>151</v>
      </c>
      <c r="F121" s="298"/>
      <c r="G121" s="299"/>
      <c r="H121" s="296"/>
      <c r="I121" s="396">
        <v>1.6</v>
      </c>
      <c r="J121" s="396"/>
      <c r="L121" s="228">
        <f>[1]Планки!H121</f>
        <v>66</v>
      </c>
      <c r="M121" s="138">
        <f>[1]Планки!I121</f>
        <v>1470</v>
      </c>
      <c r="N121" s="138">
        <f>[1]Планки!J121</f>
        <v>240</v>
      </c>
      <c r="O121" s="229">
        <f>[1]Планки!K121</f>
        <v>1230</v>
      </c>
      <c r="P121" s="229">
        <f>[1]Планки!L121</f>
        <v>245</v>
      </c>
      <c r="Q121" s="138">
        <f>[1]Планки!M121</f>
        <v>270</v>
      </c>
      <c r="R121" s="138">
        <f>[1]Планки!N121</f>
        <v>320</v>
      </c>
      <c r="S121" s="229">
        <f>[1]Планки!O121</f>
        <v>42</v>
      </c>
      <c r="T121" s="138">
        <f>[1]Планки!P121</f>
        <v>55</v>
      </c>
      <c r="U121" s="138">
        <f>[1]Планки!Q121</f>
        <v>140</v>
      </c>
      <c r="V121" s="230">
        <f>[1]Планки!R121</f>
        <v>0</v>
      </c>
      <c r="AB121" s="258">
        <f t="shared" si="0"/>
        <v>195</v>
      </c>
      <c r="AC121" s="259" t="str">
        <f>IF(COUNTIF(AD$78:AD121,AD121)=1,MAX(AC$78:AC120)+1,"")</f>
        <v/>
      </c>
      <c r="AD121" s="220">
        <f>'[2]Изложницы без бурта'!B121</f>
        <v>100</v>
      </c>
      <c r="AE121" s="220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573</v>
      </c>
      <c r="AM121" s="56">
        <f>'[2]Изложницы без бурта'!K121</f>
        <v>0</v>
      </c>
      <c r="AR121" s="368">
        <v>460</v>
      </c>
      <c r="AS121" s="368">
        <v>415</v>
      </c>
      <c r="AT121" s="368">
        <v>350</v>
      </c>
      <c r="AU121" s="367">
        <v>285</v>
      </c>
      <c r="AV121" s="368">
        <v>500</v>
      </c>
      <c r="AW121" s="368">
        <v>400</v>
      </c>
      <c r="AX121" s="393" t="s">
        <v>556</v>
      </c>
    </row>
    <row r="122" spans="1:50" ht="15.6" thickBot="1" x14ac:dyDescent="0.3">
      <c r="A122" s="300" t="e">
        <f>VLOOKUP(F30,B46:I55,5,FALSE)</f>
        <v>#N/A</v>
      </c>
      <c r="B122" s="298" t="e">
        <f>A122</f>
        <v>#N/A</v>
      </c>
      <c r="C122" s="275" t="e">
        <f>VLOOKUP(F30,B46:I55,2,FALSE)</f>
        <v>#N/A</v>
      </c>
      <c r="D122" s="298"/>
      <c r="E122" s="301" t="e">
        <f>VLOOKUP(F30,B46:I55,7,FALSE)</f>
        <v>#N/A</v>
      </c>
      <c r="F122" s="298"/>
      <c r="G122" s="299"/>
      <c r="H122" s="296"/>
      <c r="I122" s="396">
        <v>1.7</v>
      </c>
      <c r="J122" s="396"/>
      <c r="L122" s="228">
        <f>[1]Планки!H122</f>
        <v>140</v>
      </c>
      <c r="M122" s="138">
        <f>[1]Планки!I122</f>
        <v>1460</v>
      </c>
      <c r="N122" s="138">
        <f>[1]Планки!J122</f>
        <v>230</v>
      </c>
      <c r="O122" s="229">
        <f>[1]Планки!K122</f>
        <v>1230</v>
      </c>
      <c r="P122" s="229">
        <f>[1]Планки!L122</f>
        <v>300</v>
      </c>
      <c r="Q122" s="138">
        <f>[1]Планки!M122</f>
        <v>320</v>
      </c>
      <c r="R122" s="138">
        <f>[1]Планки!N122</f>
        <v>370</v>
      </c>
      <c r="S122" s="229">
        <f>[1]Планки!O122</f>
        <v>75</v>
      </c>
      <c r="T122" s="138">
        <f>[1]Планки!P122</f>
        <v>90</v>
      </c>
      <c r="U122" s="138">
        <f>[1]Планки!Q122</f>
        <v>170</v>
      </c>
      <c r="V122" s="230" t="str">
        <f>[1]Планки!R122</f>
        <v>модель нашита  (L4=35 L5=50 L6=130)</v>
      </c>
      <c r="AB122" s="258">
        <f t="shared" si="0"/>
        <v>197.5</v>
      </c>
      <c r="AC122" s="259" t="str">
        <f>IF(COUNTIF(AD$78:AD122,AD122)=1,MAX(AC$78:AC121)+1,"")</f>
        <v/>
      </c>
      <c r="AD122" s="220">
        <f>'[2]Изложницы без бурта'!B122</f>
        <v>100</v>
      </c>
      <c r="AE122" s="220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573</v>
      </c>
      <c r="AM122" s="56">
        <f>'[2]Изложницы без бурта'!K122</f>
        <v>0</v>
      </c>
      <c r="AR122" s="369">
        <v>466</v>
      </c>
      <c r="AS122" s="368">
        <v>445</v>
      </c>
      <c r="AT122" s="369">
        <v>190</v>
      </c>
      <c r="AU122" s="368">
        <v>115</v>
      </c>
      <c r="AV122" s="368">
        <v>500</v>
      </c>
      <c r="AW122" s="368">
        <v>400</v>
      </c>
      <c r="AX122" s="393" t="s">
        <v>557</v>
      </c>
    </row>
    <row r="123" spans="1:50" ht="15.6" thickBot="1" x14ac:dyDescent="0.3">
      <c r="A123" s="302"/>
      <c r="B123" s="298"/>
      <c r="C123" s="270" t="s">
        <v>180</v>
      </c>
      <c r="D123" s="298"/>
      <c r="E123" s="298" t="s">
        <v>152</v>
      </c>
      <c r="F123" s="298"/>
      <c r="G123" s="299"/>
      <c r="H123" s="296"/>
      <c r="I123" s="396">
        <v>1.8</v>
      </c>
      <c r="J123" s="396"/>
      <c r="L123" s="228">
        <f>[1]Планки!H123</f>
        <v>7</v>
      </c>
      <c r="M123" s="138">
        <f>[1]Планки!I123</f>
        <v>1480</v>
      </c>
      <c r="N123" s="138">
        <f>[1]Планки!J123</f>
        <v>245</v>
      </c>
      <c r="O123" s="229">
        <f>[1]Планки!K123</f>
        <v>1235</v>
      </c>
      <c r="P123" s="229">
        <f>[1]Планки!L123</f>
        <v>465</v>
      </c>
      <c r="Q123" s="138">
        <f>[1]Планки!M123</f>
        <v>488</v>
      </c>
      <c r="R123" s="138">
        <f>[1]Планки!N123</f>
        <v>540</v>
      </c>
      <c r="S123" s="229">
        <f>[1]Планки!O123</f>
        <v>42</v>
      </c>
      <c r="T123" s="138">
        <f>[1]Планки!P123</f>
        <v>57</v>
      </c>
      <c r="U123" s="138">
        <f>[1]Планки!Q123</f>
        <v>153</v>
      </c>
      <c r="V123" s="230" t="str">
        <f>[1]Планки!R123</f>
        <v>не найдена</v>
      </c>
      <c r="AB123" s="258">
        <f t="shared" si="0"/>
        <v>200</v>
      </c>
      <c r="AC123" s="259" t="str">
        <f>IF(COUNTIF(AD$78:AD123,AD123)=1,MAX(AC$78:AC122)+1,"")</f>
        <v/>
      </c>
      <c r="AD123" s="220">
        <f>'[2]Изложницы без бурта'!B123</f>
        <v>100</v>
      </c>
      <c r="AE123" s="220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573</v>
      </c>
      <c r="AM123" s="56">
        <f>'[2]Изложницы без бурта'!K123</f>
        <v>0</v>
      </c>
      <c r="AR123" s="376">
        <v>481</v>
      </c>
      <c r="AS123" s="388">
        <v>455</v>
      </c>
      <c r="AT123" s="376">
        <v>397</v>
      </c>
      <c r="AU123" s="377">
        <v>350</v>
      </c>
      <c r="AV123" s="368">
        <v>520</v>
      </c>
      <c r="AW123" s="368">
        <v>400</v>
      </c>
      <c r="AX123" s="393" t="s">
        <v>558</v>
      </c>
    </row>
    <row r="124" spans="1:50" ht="15" x14ac:dyDescent="0.25">
      <c r="A124" s="297" t="s">
        <v>218</v>
      </c>
      <c r="B124" s="298"/>
      <c r="C124" s="275" t="e">
        <f>VLOOKUP(F30,B46:I55,3,FALSE)</f>
        <v>#N/A</v>
      </c>
      <c r="D124" s="298" t="e">
        <f>(C122+C124)/2</f>
        <v>#N/A</v>
      </c>
      <c r="E124" s="301" t="e">
        <f>VLOOKUP(F30,B46:I55,8,FALSE)</f>
        <v>#N/A</v>
      </c>
      <c r="F124" s="298"/>
      <c r="G124" s="299"/>
      <c r="H124" s="296"/>
      <c r="I124" s="396">
        <v>1.9</v>
      </c>
      <c r="J124" s="396"/>
      <c r="L124" s="228">
        <f>[1]Планки!H124</f>
        <v>9</v>
      </c>
      <c r="M124" s="138">
        <f>[1]Планки!I124</f>
        <v>1410</v>
      </c>
      <c r="N124" s="138">
        <f>[1]Планки!J124</f>
        <v>160</v>
      </c>
      <c r="O124" s="229">
        <f>[1]Планки!K124</f>
        <v>1250</v>
      </c>
      <c r="P124" s="229">
        <f>[1]Планки!L124</f>
        <v>360</v>
      </c>
      <c r="Q124" s="138">
        <f>[1]Планки!M124</f>
        <v>377</v>
      </c>
      <c r="R124" s="138">
        <f>[1]Планки!N124</f>
        <v>420</v>
      </c>
      <c r="S124" s="229">
        <f>[1]Планки!O124</f>
        <v>53</v>
      </c>
      <c r="T124" s="138">
        <f>[1]Планки!P124</f>
        <v>63</v>
      </c>
      <c r="U124" s="138">
        <f>[1]Планки!Q124</f>
        <v>125</v>
      </c>
      <c r="V124" s="230" t="str">
        <f>[1]Планки!R124</f>
        <v>модель нашита  (L4=28 L5=40 L6=100)</v>
      </c>
      <c r="AB124" s="258">
        <f t="shared" si="0"/>
        <v>202.5</v>
      </c>
      <c r="AC124" s="259">
        <f>IF(COUNTIF(AD$78:AD124,AD124)=1,MAX(AC$78:AC123)+1,"")</f>
        <v>7</v>
      </c>
      <c r="AD124" s="220">
        <f>'[2]Изложницы без бурта'!B124</f>
        <v>102.5</v>
      </c>
      <c r="AE124" s="220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574</v>
      </c>
      <c r="AM124" s="56">
        <f>'[2]Изложницы без бурта'!K124</f>
        <v>0</v>
      </c>
      <c r="AR124" s="367">
        <v>490</v>
      </c>
      <c r="AS124" s="368">
        <v>455</v>
      </c>
      <c r="AT124" s="367">
        <v>405</v>
      </c>
      <c r="AU124" s="368">
        <v>355</v>
      </c>
      <c r="AV124" s="377">
        <v>550</v>
      </c>
      <c r="AW124" s="368">
        <v>400</v>
      </c>
      <c r="AX124" s="393" t="s">
        <v>558</v>
      </c>
    </row>
    <row r="125" spans="1:50" ht="15.6" thickBot="1" x14ac:dyDescent="0.3">
      <c r="A125" s="300" t="e">
        <f>VLOOKUP(F30,B46:I55,6,FALSE)</f>
        <v>#N/A</v>
      </c>
      <c r="B125" s="298" t="e">
        <f>A125</f>
        <v>#N/A</v>
      </c>
      <c r="C125" s="270" t="s">
        <v>205</v>
      </c>
      <c r="D125" s="298"/>
      <c r="E125" s="298" t="s">
        <v>153</v>
      </c>
      <c r="F125" s="298"/>
      <c r="G125" s="299"/>
      <c r="H125" s="296"/>
      <c r="I125" s="396">
        <v>2</v>
      </c>
      <c r="J125" s="396"/>
      <c r="L125" s="228">
        <f>[1]Планки!H125</f>
        <v>118</v>
      </c>
      <c r="M125" s="138">
        <f>[1]Планки!I125</f>
        <v>1520</v>
      </c>
      <c r="N125" s="138">
        <f>[1]Планки!J125</f>
        <v>245</v>
      </c>
      <c r="O125" s="229">
        <f>[1]Планки!K125</f>
        <v>1275</v>
      </c>
      <c r="P125" s="229">
        <f>[1]Планки!L125</f>
        <v>183</v>
      </c>
      <c r="Q125" s="138">
        <f>[1]Планки!M125</f>
        <v>207</v>
      </c>
      <c r="R125" s="138">
        <f>[1]Планки!N125</f>
        <v>250</v>
      </c>
      <c r="S125" s="229">
        <f>[1]Планки!O125</f>
        <v>40</v>
      </c>
      <c r="T125" s="138">
        <f>[1]Планки!P125</f>
        <v>56</v>
      </c>
      <c r="U125" s="138">
        <f>[1]Планки!Q125</f>
        <v>155</v>
      </c>
      <c r="V125" s="230">
        <f>[1]Планки!R125</f>
        <v>0</v>
      </c>
      <c r="AB125" s="258">
        <f t="shared" si="0"/>
        <v>205</v>
      </c>
      <c r="AC125" s="259" t="str">
        <f>IF(COUNTIF(AD$78:AD125,AD125)=1,MAX(AC$78:AC124)+1,"")</f>
        <v/>
      </c>
      <c r="AD125" s="220">
        <f>'[2]Изложницы без бурта'!B125</f>
        <v>102.5</v>
      </c>
      <c r="AE125" s="220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574</v>
      </c>
      <c r="AM125" s="56">
        <f>'[2]Изложницы без бурта'!K125</f>
        <v>0</v>
      </c>
      <c r="AR125" s="368">
        <v>490</v>
      </c>
      <c r="AS125" s="368">
        <v>455</v>
      </c>
      <c r="AT125" s="369">
        <v>395</v>
      </c>
      <c r="AU125" s="368">
        <v>345</v>
      </c>
      <c r="AV125" s="377">
        <v>550</v>
      </c>
      <c r="AW125" s="368">
        <v>400</v>
      </c>
      <c r="AX125" s="393" t="s">
        <v>558</v>
      </c>
    </row>
    <row r="126" spans="1:50" ht="15.6" thickBot="1" x14ac:dyDescent="0.3">
      <c r="A126" s="302"/>
      <c r="B126" s="298"/>
      <c r="C126" s="275" t="e">
        <f>VLOOKUP(F30,B46:I55,4,FALSE)</f>
        <v>#N/A</v>
      </c>
      <c r="D126" s="298" t="e">
        <f>C126</f>
        <v>#N/A</v>
      </c>
      <c r="E126" s="301">
        <f>B128</f>
        <v>559</v>
      </c>
      <c r="F126" s="298"/>
      <c r="G126" s="299"/>
      <c r="H126" s="296"/>
      <c r="I126" s="396">
        <v>2.1</v>
      </c>
      <c r="J126" s="396"/>
      <c r="L126" s="228">
        <f>[1]Планки!H126</f>
        <v>74</v>
      </c>
      <c r="M126" s="138">
        <f>[1]Планки!I126</f>
        <v>1530</v>
      </c>
      <c r="N126" s="138">
        <f>[1]Планки!J126</f>
        <v>250</v>
      </c>
      <c r="O126" s="229">
        <f>[1]Планки!K126</f>
        <v>1280</v>
      </c>
      <c r="P126" s="229">
        <f>[1]Планки!L126</f>
        <v>160</v>
      </c>
      <c r="Q126" s="138">
        <f>[1]Планки!M126</f>
        <v>178</v>
      </c>
      <c r="R126" s="138">
        <f>[1]Планки!N126</f>
        <v>240</v>
      </c>
      <c r="S126" s="229">
        <f>[1]Планки!O126</f>
        <v>40</v>
      </c>
      <c r="T126" s="138">
        <f>[1]Планки!P126</f>
        <v>54</v>
      </c>
      <c r="U126" s="138">
        <f>[1]Планки!Q126</f>
        <v>160</v>
      </c>
      <c r="V126" s="230">
        <f>[1]Планки!R126</f>
        <v>0</v>
      </c>
      <c r="AB126" s="258">
        <f t="shared" si="0"/>
        <v>207.5</v>
      </c>
      <c r="AC126" s="259" t="str">
        <f>IF(COUNTIF(AD$78:AD126,AD126)=1,MAX(AC$78:AC125)+1,"")</f>
        <v/>
      </c>
      <c r="AD126" s="220">
        <f>'[2]Изложницы без бурта'!B126</f>
        <v>102.5</v>
      </c>
      <c r="AE126" s="220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574</v>
      </c>
      <c r="AM126" s="56">
        <f>'[2]Изложницы без бурта'!K126</f>
        <v>0</v>
      </c>
      <c r="AR126" s="368">
        <v>488</v>
      </c>
      <c r="AS126" s="375">
        <v>457.5</v>
      </c>
      <c r="AT126" s="376">
        <v>355</v>
      </c>
      <c r="AU126" s="377">
        <v>308</v>
      </c>
      <c r="AV126" s="377">
        <v>550</v>
      </c>
      <c r="AW126" s="368">
        <v>400</v>
      </c>
      <c r="AX126" s="393" t="s">
        <v>558</v>
      </c>
    </row>
    <row r="127" spans="1:50" ht="14.4" x14ac:dyDescent="0.3">
      <c r="A127" s="303" t="s">
        <v>8</v>
      </c>
      <c r="B127" s="298"/>
      <c r="C127" s="281" t="s">
        <v>1103</v>
      </c>
      <c r="D127" s="298"/>
      <c r="E127" s="298"/>
      <c r="F127" s="298"/>
      <c r="G127" s="299"/>
      <c r="H127" s="296"/>
      <c r="I127" s="396">
        <v>2.2000000000000002</v>
      </c>
      <c r="J127" s="396"/>
      <c r="L127" s="228">
        <f>[1]Планки!H127</f>
        <v>117</v>
      </c>
      <c r="M127" s="138">
        <f>[1]Планки!I127</f>
        <v>1670</v>
      </c>
      <c r="N127" s="138">
        <f>[1]Планки!J127</f>
        <v>330</v>
      </c>
      <c r="O127" s="229">
        <f>[1]Планки!K127</f>
        <v>1340</v>
      </c>
      <c r="P127" s="229">
        <f>[1]Планки!L127</f>
        <v>443</v>
      </c>
      <c r="Q127" s="138">
        <f>[1]Планки!M127</f>
        <v>470</v>
      </c>
      <c r="R127" s="138">
        <f>[1]Планки!N127</f>
        <v>530</v>
      </c>
      <c r="S127" s="229">
        <f>[1]Планки!O127</f>
        <v>80</v>
      </c>
      <c r="T127" s="138">
        <f>[1]Планки!P127</f>
        <v>90</v>
      </c>
      <c r="U127" s="138">
        <f>[1]Планки!Q127</f>
        <v>220</v>
      </c>
      <c r="V127" s="230" t="str">
        <f>[1]Планки!R127</f>
        <v>модель нашита  (L4=62 L5=75 L6=205)</v>
      </c>
      <c r="AB127" s="258">
        <f t="shared" si="0"/>
        <v>210</v>
      </c>
      <c r="AC127" s="259" t="str">
        <f>IF(COUNTIF(AD$78:AD127,AD127)=1,MAX(AC$78:AC126)+1,"")</f>
        <v/>
      </c>
      <c r="AD127" s="220">
        <f>'[2]Изложницы без бурта'!B127</f>
        <v>102.5</v>
      </c>
      <c r="AE127" s="220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574</v>
      </c>
      <c r="AM127" s="56">
        <f>'[2]Изложницы без бурта'!K127</f>
        <v>0</v>
      </c>
      <c r="AR127" s="368">
        <v>520</v>
      </c>
      <c r="AS127" s="368">
        <v>470</v>
      </c>
      <c r="AT127" s="367">
        <v>340</v>
      </c>
      <c r="AU127" s="368">
        <v>265</v>
      </c>
      <c r="AV127" s="368">
        <v>570</v>
      </c>
      <c r="AW127" s="368">
        <v>400</v>
      </c>
      <c r="AX127" s="393" t="s">
        <v>559</v>
      </c>
    </row>
    <row r="128" spans="1:50" ht="15.6" x14ac:dyDescent="0.3">
      <c r="A128" s="304">
        <f>Втулка!N5+Втулка!N8</f>
        <v>559</v>
      </c>
      <c r="B128" s="298">
        <f>A128</f>
        <v>559</v>
      </c>
      <c r="C128" s="275">
        <v>210</v>
      </c>
      <c r="D128" s="298" t="e">
        <f>2*3.1415926*C131/2</f>
        <v>#N/A</v>
      </c>
      <c r="E128" s="456">
        <f>B130-1</f>
        <v>1</v>
      </c>
      <c r="F128" s="298" t="e">
        <f>E122*E124*E126*B129*E128/1000000</f>
        <v>#N/A</v>
      </c>
      <c r="G128" s="299"/>
      <c r="H128" s="296"/>
      <c r="I128" s="396">
        <v>2.2999999999999998</v>
      </c>
      <c r="J128" s="396"/>
      <c r="L128" s="228">
        <f>[1]Планки!H128</f>
        <v>68</v>
      </c>
      <c r="M128" s="138">
        <f>[1]Планки!I128</f>
        <v>1695</v>
      </c>
      <c r="N128" s="138">
        <f>[1]Планки!J128</f>
        <v>250</v>
      </c>
      <c r="O128" s="229">
        <f>[1]Планки!K128</f>
        <v>1445</v>
      </c>
      <c r="P128" s="229">
        <f>[1]Планки!L128</f>
        <v>215</v>
      </c>
      <c r="Q128" s="138">
        <f>[1]Планки!M128</f>
        <v>244</v>
      </c>
      <c r="R128" s="138">
        <f>[1]Планки!N128</f>
        <v>305</v>
      </c>
      <c r="S128" s="229">
        <f>[1]Планки!O128</f>
        <v>38</v>
      </c>
      <c r="T128" s="138">
        <f>[1]Планки!P128</f>
        <v>57</v>
      </c>
      <c r="U128" s="138">
        <f>[1]Планки!Q128</f>
        <v>160</v>
      </c>
      <c r="V128" s="230">
        <f>[1]Планки!R128</f>
        <v>0</v>
      </c>
      <c r="AB128" s="258">
        <f t="shared" si="0"/>
        <v>212.5</v>
      </c>
      <c r="AC128" s="259" t="str">
        <f>IF(COUNTIF(AD$78:AD128,AD128)=1,MAX(AC$78:AC127)+1,"")</f>
        <v/>
      </c>
      <c r="AD128" s="220">
        <f>'[2]Изложницы без бурта'!B128</f>
        <v>102.5</v>
      </c>
      <c r="AE128" s="220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574</v>
      </c>
      <c r="AM128" s="56">
        <f>'[2]Изложницы без бурта'!K128</f>
        <v>0</v>
      </c>
      <c r="AR128" s="368">
        <v>520</v>
      </c>
      <c r="AS128" s="368">
        <v>470</v>
      </c>
      <c r="AT128" s="368">
        <v>310</v>
      </c>
      <c r="AU128" s="368">
        <v>255</v>
      </c>
      <c r="AV128" s="368">
        <v>610</v>
      </c>
      <c r="AW128" s="368">
        <v>400</v>
      </c>
      <c r="AX128" s="393" t="s">
        <v>560</v>
      </c>
    </row>
    <row r="129" spans="1:50" ht="15.6" x14ac:dyDescent="0.3">
      <c r="A129" s="302"/>
      <c r="B129" s="305">
        <f>Втулка!N6</f>
        <v>7.5</v>
      </c>
      <c r="C129" s="281" t="s">
        <v>207</v>
      </c>
      <c r="D129" s="298">
        <v>150</v>
      </c>
      <c r="E129" s="298"/>
      <c r="F129" s="298"/>
      <c r="G129" s="299"/>
      <c r="H129" s="296"/>
      <c r="I129" s="396">
        <v>2.4</v>
      </c>
      <c r="J129" s="396"/>
      <c r="L129" s="228">
        <f>[1]Планки!H129</f>
        <v>67</v>
      </c>
      <c r="M129" s="138">
        <f>[1]Планки!I129</f>
        <v>1695</v>
      </c>
      <c r="N129" s="138">
        <f>[1]Планки!J129</f>
        <v>240</v>
      </c>
      <c r="O129" s="229">
        <f>[1]Планки!K129</f>
        <v>1455</v>
      </c>
      <c r="P129" s="229">
        <f>[1]Планки!L129</f>
        <v>220</v>
      </c>
      <c r="Q129" s="138">
        <f>[1]Планки!M129</f>
        <v>240</v>
      </c>
      <c r="R129" s="138">
        <f>[1]Планки!N129</f>
        <v>310</v>
      </c>
      <c r="S129" s="229">
        <f>[1]Планки!O129</f>
        <v>38</v>
      </c>
      <c r="T129" s="138">
        <f>[1]Планки!P129</f>
        <v>55</v>
      </c>
      <c r="U129" s="138">
        <f>[1]Планки!Q129</f>
        <v>150</v>
      </c>
      <c r="V129" s="230">
        <f>[1]Планки!R129</f>
        <v>0</v>
      </c>
      <c r="AB129" s="258">
        <f t="shared" si="0"/>
        <v>215</v>
      </c>
      <c r="AC129" s="259" t="str">
        <f>IF(COUNTIF(AD$78:AD129,AD129)=1,MAX(AC$78:AC128)+1,"")</f>
        <v/>
      </c>
      <c r="AD129" s="220">
        <f>'[2]Изложницы без бурта'!B129</f>
        <v>102.5</v>
      </c>
      <c r="AE129" s="220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574</v>
      </c>
      <c r="AM129" s="56">
        <f>'[2]Изложницы без бурта'!K129</f>
        <v>0</v>
      </c>
      <c r="AR129" s="368">
        <v>520</v>
      </c>
      <c r="AS129" s="368">
        <v>470</v>
      </c>
      <c r="AT129" s="368">
        <v>315</v>
      </c>
      <c r="AU129" s="368">
        <v>260</v>
      </c>
      <c r="AV129" s="368">
        <v>610</v>
      </c>
      <c r="AW129" s="368">
        <v>400</v>
      </c>
      <c r="AX129" s="393" t="s">
        <v>560</v>
      </c>
    </row>
    <row r="130" spans="1:50" ht="15.6" x14ac:dyDescent="0.3">
      <c r="A130" s="302"/>
      <c r="B130" s="306">
        <f>IF(Втулка!N3&lt;=1000,2,3)</f>
        <v>2</v>
      </c>
      <c r="C130" s="281" t="s">
        <v>209</v>
      </c>
      <c r="D130" s="298" t="e">
        <f>IF(B130=1,D129,D128)</f>
        <v>#N/A</v>
      </c>
      <c r="E130" s="298"/>
      <c r="F130" s="298"/>
      <c r="G130" s="299"/>
      <c r="H130" s="296"/>
      <c r="I130" s="396">
        <v>2.5</v>
      </c>
      <c r="J130" s="396"/>
      <c r="L130" s="228">
        <f>[1]Планки!H130</f>
        <v>139</v>
      </c>
      <c r="M130" s="138">
        <f>[1]Планки!I130</f>
        <v>1655</v>
      </c>
      <c r="N130" s="138">
        <f>[1]Планки!J130</f>
        <v>260</v>
      </c>
      <c r="O130" s="229">
        <f>[1]Планки!K130</f>
        <v>1395</v>
      </c>
      <c r="P130" s="229">
        <f>[1]Планки!L130</f>
        <v>275</v>
      </c>
      <c r="Q130" s="138">
        <f>[1]Планки!M130</f>
        <v>305</v>
      </c>
      <c r="R130" s="138">
        <f>[1]Планки!N130</f>
        <v>355</v>
      </c>
      <c r="S130" s="229">
        <f>[1]Планки!O130</f>
        <v>70</v>
      </c>
      <c r="T130" s="138">
        <f>[1]Планки!P130</f>
        <v>85</v>
      </c>
      <c r="U130" s="138">
        <f>[1]Планки!Q130</f>
        <v>200</v>
      </c>
      <c r="V130" s="230" t="str">
        <f>[1]Планки!R130</f>
        <v>модель нашита  (H1=1480 h2=1220 L4=40 L5=55 L6=170)</v>
      </c>
      <c r="AB130" s="258">
        <f t="shared" si="0"/>
        <v>217.5</v>
      </c>
      <c r="AC130" s="259">
        <f>IF(COUNTIF(AD$78:AD130,AD130)=1,MAX(AC$78:AC129)+1,"")</f>
        <v>8</v>
      </c>
      <c r="AD130" s="220">
        <f>'[2]Изложницы без бурта'!B130</f>
        <v>105</v>
      </c>
      <c r="AE130" s="220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575</v>
      </c>
      <c r="AM130" s="56">
        <f>'[2]Изложницы без бурта'!K130</f>
        <v>0</v>
      </c>
      <c r="AR130" s="368">
        <v>520</v>
      </c>
      <c r="AS130" s="368">
        <v>470</v>
      </c>
      <c r="AT130" s="368">
        <v>340</v>
      </c>
      <c r="AU130" s="368">
        <v>265</v>
      </c>
      <c r="AV130" s="368">
        <v>570</v>
      </c>
      <c r="AW130" s="368">
        <v>400</v>
      </c>
      <c r="AX130" s="393" t="s">
        <v>559</v>
      </c>
    </row>
    <row r="131" spans="1:50" ht="15.6" thickBot="1" x14ac:dyDescent="0.3">
      <c r="A131" s="307"/>
      <c r="B131" s="308" t="e">
        <f>B122*B122*3.1415926*B128*B129/4000000+(B125*B125*3.1415926*B128*B129*B130/4000000)</f>
        <v>#N/A</v>
      </c>
      <c r="C131" s="309" t="e">
        <f>C128+E124+B125</f>
        <v>#N/A</v>
      </c>
      <c r="D131" s="308" t="e">
        <f>D124*D126*D130*B129/1000000/360*180</f>
        <v>#N/A</v>
      </c>
      <c r="E131" s="308"/>
      <c r="F131" s="308"/>
      <c r="G131" s="310" t="e">
        <f>B131+D131+F128</f>
        <v>#N/A</v>
      </c>
      <c r="H131" s="296"/>
      <c r="I131" s="396">
        <v>2.6</v>
      </c>
      <c r="J131" s="396"/>
      <c r="L131" s="311">
        <f>[1]Планки!H131</f>
        <v>0</v>
      </c>
      <c r="M131" s="312">
        <f>[1]Планки!I131</f>
        <v>0</v>
      </c>
      <c r="N131" s="312">
        <f>[1]Планки!J131</f>
        <v>0</v>
      </c>
      <c r="O131" s="313">
        <f>[1]Планки!K131</f>
        <v>0</v>
      </c>
      <c r="P131" s="313">
        <f>[1]Планки!L131</f>
        <v>0</v>
      </c>
      <c r="Q131" s="312">
        <f>[1]Планки!M131</f>
        <v>0</v>
      </c>
      <c r="R131" s="312">
        <f>[1]Планки!N131</f>
        <v>0</v>
      </c>
      <c r="S131" s="313">
        <f>[1]Планки!O131</f>
        <v>0</v>
      </c>
      <c r="T131" s="312">
        <f>[1]Планки!P131</f>
        <v>0</v>
      </c>
      <c r="U131" s="312">
        <f>[1]Планки!Q131</f>
        <v>0</v>
      </c>
      <c r="V131" s="314">
        <f>[1]Планки!R131</f>
        <v>0</v>
      </c>
      <c r="AB131" s="258">
        <f t="shared" si="0"/>
        <v>220</v>
      </c>
      <c r="AC131" s="259" t="str">
        <f>IF(COUNTIF(AD$78:AD131,AD131)=1,MAX(AC$78:AC130)+1,"")</f>
        <v/>
      </c>
      <c r="AD131" s="220">
        <f>'[2]Изложницы без бурта'!B131</f>
        <v>105</v>
      </c>
      <c r="AE131" s="220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575</v>
      </c>
      <c r="AM131" s="56">
        <f>'[2]Изложницы без бурта'!K131</f>
        <v>0</v>
      </c>
      <c r="AR131" s="368">
        <v>520</v>
      </c>
      <c r="AS131" s="368">
        <v>470</v>
      </c>
      <c r="AT131" s="368">
        <v>340</v>
      </c>
      <c r="AU131" s="368">
        <v>265</v>
      </c>
      <c r="AV131" s="368">
        <v>570</v>
      </c>
      <c r="AW131" s="368">
        <v>400</v>
      </c>
      <c r="AX131" s="393" t="s">
        <v>559</v>
      </c>
    </row>
    <row r="132" spans="1:50" ht="15.6" thickBot="1" x14ac:dyDescent="0.3">
      <c r="A132" s="296"/>
      <c r="B132" s="296"/>
      <c r="C132" s="315"/>
      <c r="D132" s="296"/>
      <c r="E132" s="296"/>
      <c r="F132" s="296"/>
      <c r="G132" s="296"/>
      <c r="H132" s="296"/>
      <c r="I132" s="396">
        <v>2.7</v>
      </c>
      <c r="J132" s="396"/>
      <c r="AB132" s="258">
        <f t="shared" si="0"/>
        <v>222.5</v>
      </c>
      <c r="AC132" s="259" t="str">
        <f>IF(COUNTIF(AD$78:AD132,AD132)=1,MAX(AC$78:AC131)+1,"")</f>
        <v/>
      </c>
      <c r="AD132" s="220">
        <f>'[2]Изложницы без бурта'!B132</f>
        <v>105</v>
      </c>
      <c r="AE132" s="220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575</v>
      </c>
      <c r="AM132" s="56">
        <f>'[2]Изложницы без бурта'!K132</f>
        <v>0</v>
      </c>
      <c r="AR132" s="368">
        <v>510</v>
      </c>
      <c r="AS132" s="368">
        <v>470</v>
      </c>
      <c r="AT132" s="368">
        <v>350</v>
      </c>
      <c r="AU132" s="368">
        <v>290</v>
      </c>
      <c r="AV132" s="377">
        <v>550</v>
      </c>
      <c r="AW132" s="368">
        <v>400</v>
      </c>
      <c r="AX132" s="393" t="s">
        <v>561</v>
      </c>
    </row>
    <row r="133" spans="1:50" ht="14.4" x14ac:dyDescent="0.25">
      <c r="H133" s="316"/>
      <c r="I133" s="396">
        <v>2.8</v>
      </c>
      <c r="J133" s="396"/>
      <c r="L133" s="894" t="s">
        <v>347</v>
      </c>
      <c r="M133" s="895" t="s">
        <v>345</v>
      </c>
      <c r="N133" s="896" t="s">
        <v>350</v>
      </c>
      <c r="O133" s="895" t="s">
        <v>346</v>
      </c>
      <c r="P133" s="895"/>
      <c r="Q133" s="895" t="s">
        <v>348</v>
      </c>
      <c r="R133" s="897">
        <f>VLOOKUP(Планка!J4,Данные!L3:U134,4,FALSE())</f>
        <v>640</v>
      </c>
      <c r="AB133" s="258">
        <f t="shared" si="0"/>
        <v>225</v>
      </c>
      <c r="AC133" s="259" t="str">
        <f>IF(COUNTIF(AD$78:AD133,AD133)=1,MAX(AC$78:AC132)+1,"")</f>
        <v/>
      </c>
      <c r="AD133" s="220">
        <f>'[2]Изложницы без бурта'!B133</f>
        <v>105</v>
      </c>
      <c r="AE133" s="220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576</v>
      </c>
      <c r="AR133" s="368">
        <v>500</v>
      </c>
      <c r="AS133" s="368">
        <v>480</v>
      </c>
      <c r="AT133" s="368">
        <v>825</v>
      </c>
      <c r="AU133" s="368">
        <v>740</v>
      </c>
      <c r="AV133" s="368">
        <v>550</v>
      </c>
      <c r="AW133" s="368">
        <v>400</v>
      </c>
      <c r="AX133" s="393" t="s">
        <v>562</v>
      </c>
    </row>
    <row r="134" spans="1:50" ht="15" thickBot="1" x14ac:dyDescent="0.3">
      <c r="B134" s="56" t="s">
        <v>222</v>
      </c>
      <c r="C134" s="246"/>
      <c r="H134" s="239"/>
      <c r="I134" s="396">
        <v>2.9</v>
      </c>
      <c r="J134" s="396"/>
      <c r="L134" s="898" t="s">
        <v>460</v>
      </c>
      <c r="M134" s="899" t="b">
        <f>Планка!M8&lt;=300</f>
        <v>0</v>
      </c>
      <c r="N134" s="900">
        <v>5</v>
      </c>
      <c r="O134" s="899">
        <v>2.5</v>
      </c>
      <c r="P134" s="899"/>
      <c r="Q134" s="899" t="s">
        <v>349</v>
      </c>
      <c r="R134" s="901">
        <f>VLOOKUP(Планка!J4,Данные!L3:U134,9,FALSE())</f>
        <v>35</v>
      </c>
      <c r="AB134" s="258">
        <f t="shared" si="0"/>
        <v>227.5</v>
      </c>
      <c r="AC134" s="259">
        <f>IF(COUNTIF(AD$78:AD134,AD134)=1,MAX(AC$78:AC133)+1,"")</f>
        <v>9</v>
      </c>
      <c r="AD134" s="220">
        <f>'[2]Изложницы без бурта'!B134</f>
        <v>107.5</v>
      </c>
      <c r="AE134" s="220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577</v>
      </c>
      <c r="AR134" s="368">
        <v>508</v>
      </c>
      <c r="AS134" s="368">
        <v>490</v>
      </c>
      <c r="AT134" s="368">
        <v>140</v>
      </c>
      <c r="AU134" s="368">
        <v>90</v>
      </c>
      <c r="AV134" s="368">
        <v>570</v>
      </c>
      <c r="AW134" s="368">
        <v>400</v>
      </c>
      <c r="AX134" s="393" t="s">
        <v>563</v>
      </c>
    </row>
    <row r="135" spans="1:50" ht="17.399999999999999" x14ac:dyDescent="0.3">
      <c r="B135" s="318"/>
      <c r="C135" s="319" t="s">
        <v>223</v>
      </c>
      <c r="D135" s="319"/>
      <c r="E135" s="319" t="s">
        <v>224</v>
      </c>
      <c r="F135" s="320"/>
      <c r="H135" s="321"/>
      <c r="I135" s="396">
        <v>3</v>
      </c>
      <c r="J135" s="396"/>
      <c r="L135" s="228">
        <f>IF(B38=FALSE,ROUNDUP(R134*R135,0),L137)</f>
        <v>104</v>
      </c>
      <c r="M135" s="899" t="b">
        <f>AND(301&lt;Планка!M8,Планка!M8&lt;=600)</f>
        <v>0</v>
      </c>
      <c r="N135" s="900">
        <v>6</v>
      </c>
      <c r="O135" s="899">
        <v>3</v>
      </c>
      <c r="P135" s="899"/>
      <c r="Q135" s="899"/>
      <c r="R135" s="901">
        <f>VLOOKUP(TRUE,M134:O140,3,FALSE)</f>
        <v>3.5</v>
      </c>
      <c r="AB135" s="258">
        <f t="shared" si="0"/>
        <v>230</v>
      </c>
      <c r="AC135" s="259" t="str">
        <f>IF(COUNTIF(AD$78:AD135,AD135)=1,MAX(AC$78:AC134)+1,"")</f>
        <v/>
      </c>
      <c r="AD135" s="220">
        <f>'[2]Изложницы без бурта'!B135</f>
        <v>107.5</v>
      </c>
      <c r="AE135" s="220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578</v>
      </c>
      <c r="AR135" s="368">
        <v>507</v>
      </c>
      <c r="AS135" s="368">
        <v>490</v>
      </c>
      <c r="AT135" s="368">
        <v>140</v>
      </c>
      <c r="AU135" s="368">
        <v>90</v>
      </c>
      <c r="AV135" s="368">
        <v>570</v>
      </c>
      <c r="AW135" s="368">
        <v>400</v>
      </c>
      <c r="AX135" s="393" t="s">
        <v>563</v>
      </c>
    </row>
    <row r="136" spans="1:50" ht="14.4" x14ac:dyDescent="0.25">
      <c r="B136" s="322" t="s">
        <v>226</v>
      </c>
      <c r="C136" s="323" t="s">
        <v>245</v>
      </c>
      <c r="D136" s="323" t="s">
        <v>225</v>
      </c>
      <c r="E136" s="323" t="s">
        <v>245</v>
      </c>
      <c r="F136" s="324" t="s">
        <v>225</v>
      </c>
      <c r="H136" s="239"/>
      <c r="I136" s="396">
        <v>3.1</v>
      </c>
      <c r="J136" s="396"/>
      <c r="L136" s="228" t="s">
        <v>762</v>
      </c>
      <c r="M136" s="899" t="b">
        <f>AND(601&lt;Планка!M8,Планка!M8&lt;=1000)</f>
        <v>1</v>
      </c>
      <c r="N136" s="900">
        <v>8</v>
      </c>
      <c r="O136" s="899">
        <v>3.5</v>
      </c>
      <c r="P136" s="899"/>
      <c r="Q136" s="899"/>
      <c r="R136" s="901"/>
      <c r="AB136" s="258">
        <f t="shared" si="0"/>
        <v>232.5</v>
      </c>
      <c r="AC136" s="259" t="str">
        <f>IF(COUNTIF(AD$78:AD136,AD136)=1,MAX(AC$78:AC135)+1,"")</f>
        <v/>
      </c>
      <c r="AD136" s="220">
        <f>'[2]Изложницы без бурта'!B136</f>
        <v>107.5</v>
      </c>
      <c r="AE136" s="220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578</v>
      </c>
      <c r="AR136" s="368">
        <v>507</v>
      </c>
      <c r="AS136" s="368">
        <v>490</v>
      </c>
      <c r="AT136" s="368">
        <v>137</v>
      </c>
      <c r="AU136" s="368">
        <v>90</v>
      </c>
      <c r="AV136" s="368">
        <v>570</v>
      </c>
      <c r="AW136" s="368">
        <v>400</v>
      </c>
      <c r="AX136" s="393" t="s">
        <v>563</v>
      </c>
    </row>
    <row r="137" spans="1:50" ht="15" thickBot="1" x14ac:dyDescent="0.3">
      <c r="A137" s="56">
        <v>1</v>
      </c>
      <c r="B137" s="325" t="s">
        <v>227</v>
      </c>
      <c r="C137" s="326" t="s">
        <v>246</v>
      </c>
      <c r="D137" s="326">
        <v>0.5</v>
      </c>
      <c r="E137" s="326" t="s">
        <v>252</v>
      </c>
      <c r="F137" s="327">
        <v>1</v>
      </c>
      <c r="H137" s="239"/>
      <c r="I137" s="396">
        <v>3.2</v>
      </c>
      <c r="J137" s="396"/>
      <c r="L137" s="228">
        <f>ROUNDUP(R134*R135*0.841,0)</f>
        <v>104</v>
      </c>
      <c r="M137" s="899" t="b">
        <f>AND(1001&lt;Планка!M8,Планка!M8&lt;=1200)</f>
        <v>0</v>
      </c>
      <c r="N137" s="900">
        <v>8</v>
      </c>
      <c r="O137" s="899">
        <v>4</v>
      </c>
      <c r="P137" s="899"/>
      <c r="Q137" s="899"/>
      <c r="R137" s="901"/>
      <c r="AB137" s="258">
        <f t="shared" si="0"/>
        <v>235</v>
      </c>
      <c r="AC137" s="259" t="str">
        <f>IF(COUNTIF(AD$78:AD137,AD137)=1,MAX(AC$78:AC136)+1,"")</f>
        <v/>
      </c>
      <c r="AD137" s="220">
        <f>'[2]Изложницы без бурта'!B137</f>
        <v>107.5</v>
      </c>
      <c r="AE137" s="220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579</v>
      </c>
      <c r="AR137" s="368">
        <v>508</v>
      </c>
      <c r="AS137" s="368">
        <v>490</v>
      </c>
      <c r="AT137" s="368">
        <v>140</v>
      </c>
      <c r="AU137" s="369">
        <v>87</v>
      </c>
      <c r="AV137" s="368">
        <v>570</v>
      </c>
      <c r="AW137" s="368">
        <v>400</v>
      </c>
      <c r="AX137" s="393" t="s">
        <v>563</v>
      </c>
    </row>
    <row r="138" spans="1:50" ht="15" thickBot="1" x14ac:dyDescent="0.3">
      <c r="A138" s="56">
        <v>2</v>
      </c>
      <c r="B138" s="325" t="s">
        <v>228</v>
      </c>
      <c r="C138" s="326" t="s">
        <v>247</v>
      </c>
      <c r="D138" s="326">
        <v>1</v>
      </c>
      <c r="E138" s="326" t="s">
        <v>246</v>
      </c>
      <c r="F138" s="327">
        <v>1.3</v>
      </c>
      <c r="H138" s="239"/>
      <c r="I138" s="396">
        <v>3.3</v>
      </c>
      <c r="J138" s="396"/>
      <c r="L138" s="228" t="s">
        <v>763</v>
      </c>
      <c r="M138" s="899" t="b">
        <f>AND(1201&lt;Планка!M8,Планка!M8&lt;=1350)</f>
        <v>0</v>
      </c>
      <c r="N138" s="900">
        <v>9</v>
      </c>
      <c r="O138" s="899">
        <v>4.5</v>
      </c>
      <c r="P138" s="899"/>
      <c r="Q138" s="899"/>
      <c r="R138" s="901"/>
      <c r="AB138" s="258">
        <f t="shared" si="0"/>
        <v>237.5</v>
      </c>
      <c r="AC138" s="259" t="str">
        <f>IF(COUNTIF(AD$78:AD138,AD138)=1,MAX(AC$78:AC137)+1,"")</f>
        <v/>
      </c>
      <c r="AD138" s="220">
        <f>'[2]Изложницы без бурта'!B138</f>
        <v>107.5</v>
      </c>
      <c r="AE138" s="220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576</v>
      </c>
      <c r="AR138" s="368">
        <v>575</v>
      </c>
      <c r="AS138" s="368">
        <v>507.5</v>
      </c>
      <c r="AT138" s="375">
        <v>490</v>
      </c>
      <c r="AU138" s="376">
        <v>420</v>
      </c>
      <c r="AV138" s="377">
        <v>640</v>
      </c>
      <c r="AW138" s="368">
        <v>400</v>
      </c>
      <c r="AX138" s="393" t="s">
        <v>522</v>
      </c>
    </row>
    <row r="139" spans="1:50" ht="15" thickBot="1" x14ac:dyDescent="0.3">
      <c r="A139" s="56">
        <v>3</v>
      </c>
      <c r="B139" s="325" t="s">
        <v>229</v>
      </c>
      <c r="C139" s="326" t="s">
        <v>248</v>
      </c>
      <c r="D139" s="326">
        <v>1.3</v>
      </c>
      <c r="E139" s="326" t="s">
        <v>247</v>
      </c>
      <c r="F139" s="327">
        <v>1.7</v>
      </c>
      <c r="H139" s="239"/>
      <c r="I139" s="396">
        <v>3.4</v>
      </c>
      <c r="J139" s="396"/>
      <c r="L139" s="228"/>
      <c r="M139" s="899" t="b">
        <f>AND(1351&lt;Планка!M8,Планка!M8&lt;=1500)</f>
        <v>0</v>
      </c>
      <c r="N139" s="900">
        <v>10</v>
      </c>
      <c r="O139" s="899">
        <v>5</v>
      </c>
      <c r="P139" s="899"/>
      <c r="Q139" s="899"/>
      <c r="R139" s="901"/>
      <c r="AB139" s="258">
        <f t="shared" si="0"/>
        <v>240</v>
      </c>
      <c r="AC139" s="259" t="str">
        <f>IF(COUNTIF(AD$78:AD139,AD139)=1,MAX(AC$78:AC138)+1,"")</f>
        <v/>
      </c>
      <c r="AD139" s="220">
        <f>'[2]Изложницы без бурта'!B139</f>
        <v>107.5</v>
      </c>
      <c r="AE139" s="220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579</v>
      </c>
      <c r="AR139" s="368">
        <v>575</v>
      </c>
      <c r="AS139" s="368">
        <v>510</v>
      </c>
      <c r="AT139" s="375">
        <v>490</v>
      </c>
      <c r="AU139" s="376">
        <v>420</v>
      </c>
      <c r="AV139" s="377">
        <v>640</v>
      </c>
      <c r="AW139" s="368">
        <v>400</v>
      </c>
      <c r="AX139" s="393" t="s">
        <v>523</v>
      </c>
    </row>
    <row r="140" spans="1:50" ht="15" thickBot="1" x14ac:dyDescent="0.3">
      <c r="A140" s="56">
        <v>4</v>
      </c>
      <c r="B140" s="325" t="s">
        <v>230</v>
      </c>
      <c r="C140" s="326" t="s">
        <v>249</v>
      </c>
      <c r="D140" s="326">
        <v>1.7</v>
      </c>
      <c r="E140" s="326" t="s">
        <v>248</v>
      </c>
      <c r="F140" s="327">
        <v>2.5</v>
      </c>
      <c r="H140" s="239"/>
      <c r="I140" s="396">
        <v>3.5</v>
      </c>
      <c r="J140" s="396"/>
      <c r="L140" s="311"/>
      <c r="M140" s="902" t="b">
        <f>AND(1501&lt;Планка!M8,Планка!M8&lt;=1900)</f>
        <v>0</v>
      </c>
      <c r="N140" s="903">
        <v>12</v>
      </c>
      <c r="O140" s="902">
        <v>5.5</v>
      </c>
      <c r="P140" s="902"/>
      <c r="Q140" s="902"/>
      <c r="R140" s="904"/>
      <c r="AB140" s="258">
        <f t="shared" si="0"/>
        <v>242.5</v>
      </c>
      <c r="AC140" s="259" t="str">
        <f>IF(COUNTIF(AD$78:AD140,AD140)=1,MAX(AC$78:AC139)+1,"")</f>
        <v/>
      </c>
      <c r="AD140" s="220">
        <f>'[2]Изложницы без бурта'!B140</f>
        <v>107.5</v>
      </c>
      <c r="AE140" s="220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579</v>
      </c>
      <c r="AR140" s="368">
        <v>583</v>
      </c>
      <c r="AS140" s="368">
        <v>512.5</v>
      </c>
      <c r="AT140" s="368">
        <v>490</v>
      </c>
      <c r="AU140" s="367">
        <v>420</v>
      </c>
      <c r="AV140" s="377">
        <v>640</v>
      </c>
      <c r="AW140" s="368">
        <v>400</v>
      </c>
      <c r="AX140" s="393" t="s">
        <v>524</v>
      </c>
    </row>
    <row r="141" spans="1:50" ht="15" thickBot="1" x14ac:dyDescent="0.3">
      <c r="A141" s="56">
        <v>5</v>
      </c>
      <c r="B141" s="325" t="s">
        <v>231</v>
      </c>
      <c r="C141" s="326" t="s">
        <v>249</v>
      </c>
      <c r="D141" s="326">
        <v>2</v>
      </c>
      <c r="E141" s="326" t="s">
        <v>249</v>
      </c>
      <c r="F141" s="327">
        <v>3</v>
      </c>
      <c r="H141" s="239"/>
      <c r="I141" s="396">
        <v>3.6</v>
      </c>
      <c r="J141" s="396"/>
      <c r="AB141" s="258">
        <f t="shared" si="0"/>
        <v>245</v>
      </c>
      <c r="AC141" s="259" t="str">
        <f>IF(COUNTIF(AD$78:AD141,AD141)=1,MAX(AC$78:AC140)+1,"")</f>
        <v/>
      </c>
      <c r="AD141" s="220">
        <f>'[2]Изложницы без бурта'!B141</f>
        <v>107.5</v>
      </c>
      <c r="AE141" s="220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580</v>
      </c>
      <c r="AM141" s="56">
        <f>'[2]Изложницы без бурта'!K141</f>
        <v>0</v>
      </c>
      <c r="AR141" s="368">
        <v>561</v>
      </c>
      <c r="AS141" s="368">
        <v>530</v>
      </c>
      <c r="AT141" s="368">
        <v>403</v>
      </c>
      <c r="AU141" s="368">
        <v>345</v>
      </c>
      <c r="AV141" s="377">
        <v>640</v>
      </c>
      <c r="AW141" s="368">
        <v>400</v>
      </c>
      <c r="AX141" s="393" t="s">
        <v>564</v>
      </c>
    </row>
    <row r="142" spans="1:50" ht="15.6" x14ac:dyDescent="0.3">
      <c r="A142" s="56">
        <v>6</v>
      </c>
      <c r="B142" s="325" t="s">
        <v>232</v>
      </c>
      <c r="C142" s="326" t="s">
        <v>250</v>
      </c>
      <c r="D142" s="326">
        <v>2.5</v>
      </c>
      <c r="E142" s="326" t="s">
        <v>249</v>
      </c>
      <c r="F142" s="327">
        <v>3.5</v>
      </c>
      <c r="H142" s="239"/>
      <c r="I142" s="396">
        <v>3.7</v>
      </c>
      <c r="J142" s="396"/>
      <c r="K142" s="894" t="s">
        <v>975</v>
      </c>
      <c r="L142" s="909" t="s">
        <v>396</v>
      </c>
      <c r="M142" s="910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43">
        <f>HLOOKUP(TRUE,K147:S148,2,FALSE)</f>
        <v>20</v>
      </c>
      <c r="O142" s="786">
        <f>HLOOKUP(TRUE,K146:S148,3,FALSE)</f>
        <v>80</v>
      </c>
      <c r="P142" s="1736" t="s">
        <v>980</v>
      </c>
      <c r="Q142" s="1736"/>
      <c r="R142" s="1736"/>
      <c r="S142" s="1736"/>
      <c r="T142" s="925" t="s">
        <v>952</v>
      </c>
      <c r="U142" s="917" t="s">
        <v>956</v>
      </c>
      <c r="V142" s="916"/>
      <c r="W142" s="918"/>
      <c r="X142" s="919" t="s">
        <v>954</v>
      </c>
      <c r="Y142" s="932">
        <f>_xlfn.FLOOR.MATH('цб с буртом'!N6-(S144*2),2.5)</f>
        <v>145</v>
      </c>
      <c r="Z142" s="920"/>
      <c r="AB142" s="258">
        <f t="shared" si="0"/>
        <v>247.5</v>
      </c>
      <c r="AC142" s="259" t="str">
        <f>IF(COUNTIF(AD$78:AD142,AD142)=1,MAX(AC$78:AC141)+1,"")</f>
        <v/>
      </c>
      <c r="AD142" s="220">
        <f>'[2]Изложницы без бурта'!B142</f>
        <v>107.5</v>
      </c>
      <c r="AE142" s="220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580</v>
      </c>
      <c r="AM142" s="56">
        <f>'[2]Изложницы без бурта'!K142</f>
        <v>0</v>
      </c>
      <c r="AR142" s="368">
        <v>563</v>
      </c>
      <c r="AS142" s="368">
        <v>540</v>
      </c>
      <c r="AT142" s="368">
        <v>360</v>
      </c>
      <c r="AU142" s="368">
        <v>305</v>
      </c>
      <c r="AV142" s="377">
        <v>640</v>
      </c>
      <c r="AW142" s="368">
        <v>400</v>
      </c>
      <c r="AX142" s="393" t="s">
        <v>565</v>
      </c>
    </row>
    <row r="143" spans="1:50" ht="17.399999999999999" x14ac:dyDescent="0.3">
      <c r="A143" s="56">
        <v>7</v>
      </c>
      <c r="B143" s="325" t="s">
        <v>233</v>
      </c>
      <c r="C143" s="326" t="s">
        <v>250</v>
      </c>
      <c r="D143" s="326">
        <v>3</v>
      </c>
      <c r="E143" s="326" t="s">
        <v>249</v>
      </c>
      <c r="F143" s="327">
        <v>4.3</v>
      </c>
      <c r="H143" s="321"/>
      <c r="I143" s="396">
        <v>3.8</v>
      </c>
      <c r="J143" s="396"/>
      <c r="K143" s="325" t="s">
        <v>976</v>
      </c>
      <c r="L143" s="245">
        <f>('цб с буртом'!N4-'цб с буртом'!N6)/2</f>
        <v>75</v>
      </c>
      <c r="M143" s="862" t="s">
        <v>978</v>
      </c>
      <c r="N143" s="245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5">
        <f>N143/100+1</f>
        <v>5</v>
      </c>
      <c r="P143" s="245" t="s">
        <v>981</v>
      </c>
      <c r="Q143" s="245">
        <f>IF(E157=1,HLOOKUP(N143,A161:H171,2,FALSE),IF(E157=2,HLOOKUP(N143,A175:H185,2,FALSE),HLOOKUP(N143,A190:H199,2,FALSE)))</f>
        <v>6.5</v>
      </c>
      <c r="R143" s="245" t="s">
        <v>982</v>
      </c>
      <c r="S143" s="245">
        <f>IF(M142=1,VLOOKUP(O142,A161:H171,O143,FALSE),IF(M142=2,VLOOKUP(O142,A175:H184,O143,FALSE),VLOOKUP(O142,A190:H199,O143,FALSE)))</f>
        <v>18</v>
      </c>
      <c r="T143" s="926"/>
      <c r="U143" s="922" t="s">
        <v>953</v>
      </c>
      <c r="V143" s="921"/>
      <c r="W143" s="923"/>
      <c r="X143" s="921" t="s">
        <v>955</v>
      </c>
      <c r="Y143" s="933">
        <f>_xlfn.FLOOR.MATH('цб с буртом'!N6-(S143*2),2.5)</f>
        <v>122.5</v>
      </c>
      <c r="Z143" s="924"/>
      <c r="AB143" s="258">
        <f t="shared" si="0"/>
        <v>250</v>
      </c>
      <c r="AC143" s="259" t="str">
        <f>IF(COUNTIF(AD$78:AD143,AD143)=1,MAX(AC$78:AC142)+1,"")</f>
        <v/>
      </c>
      <c r="AD143" s="220">
        <f>'[2]Изложницы без бурта'!B143</f>
        <v>107.5</v>
      </c>
      <c r="AE143" s="220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580</v>
      </c>
      <c r="AM143" s="56">
        <f>'[2]Изложницы без бурта'!K143</f>
        <v>0</v>
      </c>
      <c r="AR143" s="368">
        <v>605</v>
      </c>
      <c r="AS143" s="368">
        <v>600</v>
      </c>
      <c r="AT143" s="368">
        <v>820</v>
      </c>
      <c r="AU143" s="368">
        <v>660</v>
      </c>
      <c r="AV143" s="377">
        <v>640</v>
      </c>
      <c r="AW143" s="368">
        <v>400</v>
      </c>
      <c r="AX143" s="393" t="s">
        <v>525</v>
      </c>
    </row>
    <row r="144" spans="1:50" ht="16.2" thickBot="1" x14ac:dyDescent="0.35">
      <c r="A144" s="56">
        <v>8</v>
      </c>
      <c r="B144" s="325" t="s">
        <v>234</v>
      </c>
      <c r="C144" s="326" t="s">
        <v>250</v>
      </c>
      <c r="D144" s="326">
        <v>3.5</v>
      </c>
      <c r="E144" s="326" t="s">
        <v>249</v>
      </c>
      <c r="F144" s="327">
        <v>5.3</v>
      </c>
      <c r="H144" s="239"/>
      <c r="I144" s="396">
        <v>3.9</v>
      </c>
      <c r="J144" s="396"/>
      <c r="K144" s="913" t="s">
        <v>977</v>
      </c>
      <c r="L144" s="914">
        <f>('цб с буртом'!N5-'цб с буртом'!N6)/2</f>
        <v>20</v>
      </c>
      <c r="M144" s="915" t="s">
        <v>979</v>
      </c>
      <c r="N144" s="914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14">
        <f>N144/100+1</f>
        <v>3</v>
      </c>
      <c r="P144" s="914" t="s">
        <v>981</v>
      </c>
      <c r="Q144" s="914">
        <f>IF(E157=1,HLOOKUP(N144,A161:H171,2,FALSE),IF(E157=2,HLOOKUP(N144,A175:H185,2,FALSE),HLOOKUP(N144,A190:H199,2,FALSE)))</f>
        <v>4.5</v>
      </c>
      <c r="R144" s="914" t="s">
        <v>982</v>
      </c>
      <c r="S144" s="914">
        <f>IF(M142=1,VLOOKUP(N142,A161:H171,O144,FALSE),IF(M142=2,VLOOKUP(N142,A175:H184,O144,FALSE),VLOOKUP(N142,A190:H199,O144,FALSE)))</f>
        <v>6.5</v>
      </c>
      <c r="T144" s="927"/>
      <c r="U144" s="928" t="s">
        <v>961</v>
      </c>
      <c r="V144" s="928"/>
      <c r="W144" s="929"/>
      <c r="X144" s="930"/>
      <c r="Y144" s="930"/>
      <c r="Z144" s="931"/>
      <c r="AB144" s="258">
        <f t="shared" ref="AB144:AB208" si="3">IF(MAX(AC144:AC1221)&lt;ROW(66:66),"",VLOOKUP(ROW(66:66),AC144:AD1221,2))</f>
        <v>252.5</v>
      </c>
      <c r="AC144" s="259" t="str">
        <f>IF(COUNTIF(AD$78:AD144,AD144)=1,MAX(AC$78:AC143)+1,"")</f>
        <v/>
      </c>
      <c r="AD144" s="220">
        <f>'[2]Изложницы без бурта'!B144</f>
        <v>107.5</v>
      </c>
      <c r="AE144" s="220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580</v>
      </c>
      <c r="AM144" s="56">
        <f>'[2]Изложницы без бурта'!K144</f>
        <v>0</v>
      </c>
      <c r="AR144" s="368">
        <v>600</v>
      </c>
      <c r="AS144" s="368">
        <v>567.5</v>
      </c>
      <c r="AT144" s="368">
        <v>647</v>
      </c>
      <c r="AU144" s="369">
        <v>565</v>
      </c>
      <c r="AV144" s="377">
        <v>640</v>
      </c>
      <c r="AW144" s="368">
        <v>400</v>
      </c>
      <c r="AX144" s="393" t="s">
        <v>526</v>
      </c>
    </row>
    <row r="145" spans="1:50" ht="15" thickBot="1" x14ac:dyDescent="0.3">
      <c r="A145" s="56">
        <v>9</v>
      </c>
      <c r="B145" s="325" t="s">
        <v>235</v>
      </c>
      <c r="C145" s="326" t="s">
        <v>250</v>
      </c>
      <c r="D145" s="326">
        <v>4</v>
      </c>
      <c r="E145" s="326" t="s">
        <v>249</v>
      </c>
      <c r="F145" s="327">
        <v>6</v>
      </c>
      <c r="H145" s="239"/>
      <c r="I145" s="396">
        <v>4</v>
      </c>
      <c r="J145" s="396"/>
      <c r="K145" s="22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30"/>
      <c r="AB145" s="258">
        <f t="shared" si="3"/>
        <v>255</v>
      </c>
      <c r="AC145" s="259">
        <f>IF(COUNTIF(AD$78:AD145,AD145)=1,MAX(AC$78:AC144)+1,"")</f>
        <v>10</v>
      </c>
      <c r="AD145" s="220">
        <f>'[2]Изложницы без бурта'!B145</f>
        <v>110</v>
      </c>
      <c r="AE145" s="220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581</v>
      </c>
      <c r="AM145" s="56">
        <f>'[2]Изложницы без бурта'!K145</f>
        <v>0</v>
      </c>
      <c r="AR145" s="368">
        <v>622</v>
      </c>
      <c r="AS145" s="368">
        <v>575</v>
      </c>
      <c r="AT145" s="375">
        <v>645</v>
      </c>
      <c r="AU145" s="376">
        <v>570</v>
      </c>
      <c r="AV145" s="377">
        <v>700</v>
      </c>
      <c r="AW145" s="368">
        <v>400</v>
      </c>
      <c r="AX145" s="393" t="s">
        <v>527</v>
      </c>
    </row>
    <row r="146" spans="1:50" ht="15" thickBot="1" x14ac:dyDescent="0.3">
      <c r="A146" s="56">
        <v>10</v>
      </c>
      <c r="B146" s="325" t="s">
        <v>236</v>
      </c>
      <c r="C146" s="326" t="s">
        <v>251</v>
      </c>
      <c r="D146" s="326">
        <v>4.5</v>
      </c>
      <c r="E146" s="326" t="s">
        <v>250</v>
      </c>
      <c r="F146" s="327">
        <v>6.5</v>
      </c>
      <c r="H146" s="239"/>
      <c r="K146" s="911" t="b">
        <f>L143&lt;=A163</f>
        <v>0</v>
      </c>
      <c r="L146" s="912" t="b">
        <f>L143&lt;=A164</f>
        <v>0</v>
      </c>
      <c r="M146" s="912" t="b">
        <f>L143&lt;=A165</f>
        <v>0</v>
      </c>
      <c r="N146" s="912" t="b">
        <f>L143&lt;=A166</f>
        <v>0</v>
      </c>
      <c r="O146" s="912" t="b">
        <f>L143&lt;=A167</f>
        <v>1</v>
      </c>
      <c r="P146" s="912" t="b">
        <f>L143&lt;=A168</f>
        <v>1</v>
      </c>
      <c r="Q146" s="912" t="b">
        <f>L143&lt;=A169</f>
        <v>1</v>
      </c>
      <c r="R146" s="912" t="b">
        <f>L143&lt;=A170</f>
        <v>1</v>
      </c>
      <c r="S146" s="912" t="b">
        <f>L143&lt;=A171</f>
        <v>1</v>
      </c>
      <c r="T146" s="138"/>
      <c r="U146" s="138"/>
      <c r="V146" s="138"/>
      <c r="W146" s="138"/>
      <c r="X146" s="138"/>
      <c r="Y146" s="138"/>
      <c r="Z146" s="230"/>
      <c r="AB146" s="258">
        <f t="shared" si="3"/>
        <v>257.5</v>
      </c>
      <c r="AC146" s="259" t="str">
        <f>IF(COUNTIF(AD$78:AD146,AD146)=1,MAX(AC$78:AC145)+1,"")</f>
        <v/>
      </c>
      <c r="AD146" s="220">
        <f>'[2]Изложницы без бурта'!B146</f>
        <v>110</v>
      </c>
      <c r="AE146" s="220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581</v>
      </c>
      <c r="AM146" s="56">
        <f>'[2]Изложницы без бурта'!K146</f>
        <v>0</v>
      </c>
      <c r="AR146" s="368">
        <v>622</v>
      </c>
      <c r="AS146" s="369">
        <v>575</v>
      </c>
      <c r="AT146" s="375">
        <v>640</v>
      </c>
      <c r="AU146" s="376">
        <v>565</v>
      </c>
      <c r="AV146" s="377">
        <v>700</v>
      </c>
      <c r="AW146" s="368">
        <v>400</v>
      </c>
      <c r="AX146" s="393" t="s">
        <v>527</v>
      </c>
    </row>
    <row r="147" spans="1:50" ht="15" thickBot="1" x14ac:dyDescent="0.3">
      <c r="A147" s="56">
        <v>11</v>
      </c>
      <c r="B147" s="325" t="s">
        <v>237</v>
      </c>
      <c r="C147" s="326" t="s">
        <v>251</v>
      </c>
      <c r="D147" s="326">
        <v>5.3</v>
      </c>
      <c r="E147" s="326" t="s">
        <v>250</v>
      </c>
      <c r="F147" s="327">
        <v>7</v>
      </c>
      <c r="H147" s="239"/>
      <c r="K147" s="911" t="b">
        <f>$L144&lt;=$A163</f>
        <v>0</v>
      </c>
      <c r="L147" s="912" t="b">
        <f>$L144&lt;=$A164</f>
        <v>1</v>
      </c>
      <c r="M147" s="912" t="b">
        <f>$L144&lt;=$A165</f>
        <v>1</v>
      </c>
      <c r="N147" s="912" t="b">
        <f>$L144&lt;=$A166</f>
        <v>1</v>
      </c>
      <c r="O147" s="912" t="b">
        <f>$L144&lt;=$A167</f>
        <v>1</v>
      </c>
      <c r="P147" s="912" t="b">
        <f>$L144&lt;=$A168</f>
        <v>1</v>
      </c>
      <c r="Q147" s="912" t="b">
        <f>$L144&lt;=$A169</f>
        <v>1</v>
      </c>
      <c r="R147" s="912" t="b">
        <f>$L144&lt;=$A170</f>
        <v>1</v>
      </c>
      <c r="S147" s="912" t="b">
        <f>$L144&lt;=$A171</f>
        <v>1</v>
      </c>
      <c r="T147" s="138"/>
      <c r="U147" s="138"/>
      <c r="V147" s="138"/>
      <c r="W147" s="138"/>
      <c r="X147" s="138"/>
      <c r="Y147" s="138"/>
      <c r="Z147" s="230"/>
      <c r="AB147" s="258">
        <f t="shared" si="3"/>
        <v>260</v>
      </c>
      <c r="AC147" s="259" t="str">
        <f>IF(COUNTIF(AD$78:AD147,AD147)=1,MAX(AC$78:AC146)+1,"")</f>
        <v/>
      </c>
      <c r="AD147" s="220">
        <f>'[2]Изложницы без бурта'!B147</f>
        <v>110</v>
      </c>
      <c r="AE147" s="220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581</v>
      </c>
      <c r="AM147" s="56">
        <f>'[2]Изложницы без бурта'!K147</f>
        <v>0</v>
      </c>
      <c r="AR147" s="375">
        <v>620</v>
      </c>
      <c r="AS147" s="376">
        <v>580</v>
      </c>
      <c r="AT147" s="377">
        <v>638</v>
      </c>
      <c r="AU147" s="367">
        <v>583</v>
      </c>
      <c r="AV147" s="368">
        <v>670</v>
      </c>
      <c r="AW147" s="368">
        <v>400</v>
      </c>
      <c r="AX147" s="393" t="s">
        <v>528</v>
      </c>
    </row>
    <row r="148" spans="1:50" ht="15" thickBot="1" x14ac:dyDescent="0.3">
      <c r="A148" s="56">
        <v>12</v>
      </c>
      <c r="B148" s="325" t="s">
        <v>238</v>
      </c>
      <c r="C148" s="326" t="s">
        <v>251</v>
      </c>
      <c r="D148" s="326">
        <v>6.7</v>
      </c>
      <c r="E148" s="326" t="s">
        <v>250</v>
      </c>
      <c r="F148" s="327">
        <v>7.5</v>
      </c>
      <c r="H148" s="239"/>
      <c r="K148" s="911">
        <v>10</v>
      </c>
      <c r="L148" s="912">
        <v>20</v>
      </c>
      <c r="M148" s="912">
        <v>30</v>
      </c>
      <c r="N148" s="912">
        <v>50</v>
      </c>
      <c r="O148" s="912">
        <v>80</v>
      </c>
      <c r="P148" s="912">
        <v>120</v>
      </c>
      <c r="Q148" s="912">
        <v>150</v>
      </c>
      <c r="R148" s="912">
        <v>200</v>
      </c>
      <c r="S148" s="912">
        <v>300</v>
      </c>
      <c r="T148" s="138"/>
      <c r="U148" s="138"/>
      <c r="V148" s="138"/>
      <c r="W148" s="138"/>
      <c r="X148" s="138"/>
      <c r="Y148" s="138"/>
      <c r="Z148" s="230"/>
      <c r="AB148" s="258">
        <f t="shared" si="3"/>
        <v>262.5</v>
      </c>
      <c r="AC148" s="259" t="str">
        <f>IF(COUNTIF(AD$78:AD148,AD148)=1,MAX(AC$78:AC147)+1,"")</f>
        <v/>
      </c>
      <c r="AD148" s="220">
        <f>'[2]Изложницы без бурта'!B148</f>
        <v>110</v>
      </c>
      <c r="AE148" s="220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581</v>
      </c>
      <c r="AM148" s="56">
        <f>'[2]Изложницы без бурта'!K148</f>
        <v>0</v>
      </c>
      <c r="AR148" s="369">
        <v>620</v>
      </c>
      <c r="AS148" s="367">
        <v>590</v>
      </c>
      <c r="AT148" s="368">
        <v>643</v>
      </c>
      <c r="AU148" s="368">
        <v>588</v>
      </c>
      <c r="AV148" s="368">
        <v>670</v>
      </c>
      <c r="AW148" s="368">
        <v>400</v>
      </c>
      <c r="AX148" s="393" t="s">
        <v>529</v>
      </c>
    </row>
    <row r="149" spans="1:50" ht="14.4" customHeight="1" thickBot="1" x14ac:dyDescent="0.35">
      <c r="A149" s="56">
        <v>13</v>
      </c>
      <c r="B149" s="325" t="s">
        <v>239</v>
      </c>
      <c r="C149" s="326" t="s">
        <v>251</v>
      </c>
      <c r="D149" s="326">
        <v>7</v>
      </c>
      <c r="E149" s="326" t="s">
        <v>250</v>
      </c>
      <c r="F149" s="327">
        <v>8</v>
      </c>
      <c r="H149" s="321"/>
      <c r="K149" s="22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30"/>
      <c r="AB149" s="258">
        <f t="shared" si="3"/>
        <v>265</v>
      </c>
      <c r="AC149" s="259" t="str">
        <f>IF(COUNTIF(AD$78:AD149,AD149)=1,MAX(AC$78:AC148)+1,"")</f>
        <v/>
      </c>
      <c r="AD149" s="220">
        <f>'[2]Изложницы без бурта'!B149</f>
        <v>110</v>
      </c>
      <c r="AE149" s="220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581</v>
      </c>
      <c r="AM149" s="56">
        <f>'[2]Изложницы без бурта'!K149</f>
        <v>0</v>
      </c>
      <c r="AR149" s="376">
        <v>667</v>
      </c>
      <c r="AS149" s="377">
        <v>615</v>
      </c>
      <c r="AT149" s="368">
        <v>490</v>
      </c>
      <c r="AU149" s="368">
        <v>400</v>
      </c>
      <c r="AV149" s="377">
        <v>700</v>
      </c>
      <c r="AW149" s="368">
        <v>400</v>
      </c>
      <c r="AX149" s="393" t="s">
        <v>566</v>
      </c>
    </row>
    <row r="150" spans="1:50" ht="15" customHeight="1" x14ac:dyDescent="0.3">
      <c r="A150" s="56">
        <v>14</v>
      </c>
      <c r="B150" s="325" t="s">
        <v>240</v>
      </c>
      <c r="C150" s="326" t="s">
        <v>251</v>
      </c>
      <c r="D150" s="326">
        <v>7</v>
      </c>
      <c r="E150" s="326" t="s">
        <v>250</v>
      </c>
      <c r="F150" s="327">
        <v>8.5</v>
      </c>
      <c r="H150" s="321"/>
      <c r="J150" s="316"/>
      <c r="K150" s="889"/>
      <c r="L150" s="239"/>
      <c r="M150" s="239"/>
      <c r="N150" s="239"/>
      <c r="O150" s="239"/>
      <c r="P150" s="239"/>
      <c r="Q150" s="239"/>
      <c r="R150" s="239"/>
      <c r="S150" s="138"/>
      <c r="T150" s="138"/>
      <c r="U150" s="138"/>
      <c r="V150" s="138"/>
      <c r="W150" s="138"/>
      <c r="X150" s="138"/>
      <c r="Y150" s="138"/>
      <c r="Z150" s="230"/>
      <c r="AB150" s="258">
        <f t="shared" si="3"/>
        <v>267.5</v>
      </c>
      <c r="AC150" s="259" t="str">
        <f>IF(COUNTIF(AD$78:AD150,AD150)=1,MAX(AC$78:AC149)+1,"")</f>
        <v/>
      </c>
      <c r="AD150" s="220">
        <f>'[2]Изложницы без бурта'!B150</f>
        <v>110</v>
      </c>
      <c r="AE150" s="220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581</v>
      </c>
      <c r="AM150" s="56">
        <f>'[2]Изложницы без бурта'!K150</f>
        <v>0</v>
      </c>
      <c r="AR150" s="367">
        <v>682</v>
      </c>
      <c r="AS150" s="368">
        <v>640</v>
      </c>
      <c r="AT150" s="368">
        <v>410</v>
      </c>
      <c r="AU150" s="368">
        <v>343</v>
      </c>
      <c r="AV150" s="377">
        <v>700</v>
      </c>
      <c r="AW150" s="368">
        <v>400</v>
      </c>
      <c r="AX150" s="393" t="s">
        <v>530</v>
      </c>
    </row>
    <row r="151" spans="1:50" ht="15" customHeight="1" x14ac:dyDescent="0.3">
      <c r="A151" s="56">
        <v>15</v>
      </c>
      <c r="B151" s="325" t="s">
        <v>241</v>
      </c>
      <c r="C151" s="326" t="s">
        <v>251</v>
      </c>
      <c r="D151" s="326">
        <v>7</v>
      </c>
      <c r="E151" s="326" t="s">
        <v>251</v>
      </c>
      <c r="F151" s="327">
        <v>9</v>
      </c>
      <c r="H151" s="321"/>
      <c r="J151" s="316"/>
      <c r="K151" s="890"/>
      <c r="L151" s="891"/>
      <c r="M151" s="891"/>
      <c r="N151" s="891"/>
      <c r="O151" s="891"/>
      <c r="P151" s="891"/>
      <c r="Q151" s="239"/>
      <c r="R151" s="239"/>
      <c r="S151" s="138"/>
      <c r="T151" s="138"/>
      <c r="U151" s="138"/>
      <c r="V151" s="138"/>
      <c r="W151" s="138"/>
      <c r="X151" s="138"/>
      <c r="Y151" s="138"/>
      <c r="Z151" s="230"/>
      <c r="AB151" s="258">
        <f t="shared" si="3"/>
        <v>270</v>
      </c>
      <c r="AC151" s="259" t="str">
        <f>IF(COUNTIF(AD$78:AD151,AD151)=1,MAX(AC$78:AC150)+1,"")</f>
        <v/>
      </c>
      <c r="AD151" s="220">
        <f>'[2]Изложницы без бурта'!B151</f>
        <v>110</v>
      </c>
      <c r="AE151" s="220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581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5" t="s">
        <v>242</v>
      </c>
      <c r="C152" s="326" t="s">
        <v>251</v>
      </c>
      <c r="D152" s="326">
        <v>7</v>
      </c>
      <c r="E152" s="326" t="s">
        <v>251</v>
      </c>
      <c r="F152" s="327">
        <v>9.5</v>
      </c>
      <c r="H152" s="321"/>
      <c r="J152" s="316"/>
      <c r="K152" s="889"/>
      <c r="L152" s="239"/>
      <c r="M152" s="239"/>
      <c r="N152" s="239"/>
      <c r="O152" s="239"/>
      <c r="P152" s="239"/>
      <c r="Q152" s="239"/>
      <c r="R152" s="239"/>
      <c r="S152" s="138"/>
      <c r="T152" s="138"/>
      <c r="U152" s="138"/>
      <c r="V152" s="138"/>
      <c r="W152" s="138"/>
      <c r="X152" s="138"/>
      <c r="Y152" s="138"/>
      <c r="Z152" s="230"/>
      <c r="AB152" s="258">
        <f t="shared" si="3"/>
        <v>275</v>
      </c>
      <c r="AC152" s="259" t="str">
        <f>IF(COUNTIF(AD$78:AD152,AD152)=1,MAX(AC$78:AC151)+1,"")</f>
        <v/>
      </c>
      <c r="AD152" s="220">
        <f>'[2]Изложницы без бурта'!B152</f>
        <v>110</v>
      </c>
      <c r="AE152" s="220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581</v>
      </c>
      <c r="AM152" s="56">
        <f>'[2]Изложницы без бурта'!K152</f>
        <v>0</v>
      </c>
    </row>
    <row r="153" spans="1:50" x14ac:dyDescent="0.25">
      <c r="A153" s="56">
        <v>17</v>
      </c>
      <c r="B153" s="325" t="s">
        <v>243</v>
      </c>
      <c r="C153" s="326" t="s">
        <v>251</v>
      </c>
      <c r="D153" s="326">
        <v>7</v>
      </c>
      <c r="E153" s="326" t="s">
        <v>251</v>
      </c>
      <c r="F153" s="327">
        <v>11</v>
      </c>
      <c r="H153" s="239"/>
      <c r="J153" s="316"/>
      <c r="K153" s="889"/>
      <c r="L153" s="239"/>
      <c r="M153" s="239"/>
      <c r="N153" s="239"/>
      <c r="O153" s="239"/>
      <c r="P153" s="239"/>
      <c r="Q153" s="239"/>
      <c r="R153" s="239"/>
      <c r="S153" s="138"/>
      <c r="T153" s="138"/>
      <c r="U153" s="138"/>
      <c r="V153" s="138"/>
      <c r="W153" s="138"/>
      <c r="X153" s="138"/>
      <c r="Y153" s="138"/>
      <c r="Z153" s="230"/>
      <c r="AB153" s="258">
        <f t="shared" si="3"/>
        <v>277.5</v>
      </c>
      <c r="AC153" s="259" t="str">
        <f>IF(COUNTIF(AD$78:AD153,AD153)=1,MAX(AC$78:AC152)+1,"")</f>
        <v/>
      </c>
      <c r="AD153" s="220">
        <f>'[2]Изложницы без бурта'!B153</f>
        <v>110</v>
      </c>
      <c r="AE153" s="220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581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8" t="s">
        <v>244</v>
      </c>
      <c r="C154" s="329" t="s">
        <v>251</v>
      </c>
      <c r="D154" s="329">
        <v>7</v>
      </c>
      <c r="E154" s="329" t="s">
        <v>251</v>
      </c>
      <c r="F154" s="330">
        <v>11</v>
      </c>
      <c r="J154" s="316"/>
      <c r="K154" s="892"/>
      <c r="L154" s="893"/>
      <c r="M154" s="893"/>
      <c r="N154" s="893"/>
      <c r="O154" s="893"/>
      <c r="P154" s="893"/>
      <c r="Q154" s="893"/>
      <c r="R154" s="893"/>
      <c r="S154" s="312"/>
      <c r="T154" s="312"/>
      <c r="U154" s="312"/>
      <c r="V154" s="312"/>
      <c r="W154" s="312"/>
      <c r="X154" s="312"/>
      <c r="Y154" s="312"/>
      <c r="Z154" s="314"/>
      <c r="AB154" s="258">
        <f t="shared" si="3"/>
        <v>280</v>
      </c>
      <c r="AC154" s="259" t="str">
        <f>IF(COUNTIF(AD$78:AD154,AD154)=1,MAX(AC$78:AC153)+1,"")</f>
        <v/>
      </c>
      <c r="AD154" s="220">
        <f>'[2]Изложницы без бурта'!B154</f>
        <v>110</v>
      </c>
      <c r="AE154" s="220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581</v>
      </c>
      <c r="AM154" s="56">
        <f>'[2]Изложницы без бурта'!K154</f>
        <v>0</v>
      </c>
    </row>
    <row r="155" spans="1:50" ht="14.4" thickBot="1" x14ac:dyDescent="0.3">
      <c r="J155" s="316"/>
      <c r="K155" s="316"/>
      <c r="L155" s="316"/>
      <c r="M155" s="316"/>
      <c r="N155" s="316"/>
      <c r="O155" s="316"/>
      <c r="P155" s="316"/>
      <c r="Q155" s="316"/>
      <c r="R155" s="316"/>
      <c r="AB155" s="258">
        <f t="shared" ref="AB155:AB201" si="4">IF(MAX(AC155:AC1232)&lt;ROW(77:77),"",VLOOKUP(ROW(77:77),AC155:AD1232,2))</f>
        <v>282.5</v>
      </c>
      <c r="AC155" s="259" t="str">
        <f>IF(COUNTIF(AD$78:AD155,AD155)=1,MAX(AC$78:AC154)+1,"")</f>
        <v/>
      </c>
      <c r="AD155" s="220">
        <f>'[2]Изложницы без бурта'!B155</f>
        <v>110</v>
      </c>
      <c r="AE155" s="220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581</v>
      </c>
      <c r="AM155" s="56">
        <f>'[2]Изложницы без бурта'!K155</f>
        <v>0</v>
      </c>
    </row>
    <row r="156" spans="1:50" x14ac:dyDescent="0.25">
      <c r="K156" s="217"/>
      <c r="L156" s="218"/>
      <c r="M156" s="218"/>
      <c r="N156" s="218"/>
      <c r="O156" s="218"/>
      <c r="P156" s="218"/>
      <c r="Q156" s="218">
        <f ca="1">(цб!N18-цб!N19)/2</f>
        <v>31.25</v>
      </c>
      <c r="R156" s="905" t="b">
        <v>0</v>
      </c>
      <c r="S156" s="219"/>
      <c r="AB156" s="258">
        <f t="shared" si="4"/>
        <v>285</v>
      </c>
      <c r="AC156" s="259" t="str">
        <f>IF(COUNTIF(AD$78:AD156,AD156)=1,MAX(AC$78:AC155)+1,"")</f>
        <v/>
      </c>
      <c r="AD156" s="220">
        <f>'[2]Изложницы без бурта'!B156</f>
        <v>110</v>
      </c>
      <c r="AE156" s="220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581</v>
      </c>
      <c r="AM156" s="56">
        <f>'[2]Изложницы без бурта'!K156</f>
        <v>0</v>
      </c>
    </row>
    <row r="157" spans="1:50" x14ac:dyDescent="0.25">
      <c r="A157" s="331" t="s">
        <v>321</v>
      </c>
      <c r="D157" s="246" t="s">
        <v>396</v>
      </c>
      <c r="E157" s="332">
        <f>IF(OR(цб!N8=7.5,цб!N8=7.6,цб!N8=7.7,цб!N8=7.8,цб!N8=7.9,цб!N8=8,цб!N8=8.1),1,IF(цб!N8=8.5,2,3))</f>
        <v>3</v>
      </c>
      <c r="K157" s="889"/>
      <c r="L157" s="239"/>
      <c r="M157" s="239"/>
      <c r="N157" s="138"/>
      <c r="O157" s="138"/>
      <c r="P157" s="138"/>
      <c r="Q157" s="138"/>
      <c r="R157" s="138"/>
      <c r="S157" s="230"/>
      <c r="AB157" s="258">
        <f t="shared" si="4"/>
        <v>287.5</v>
      </c>
      <c r="AC157" s="259" t="str">
        <f>IF(COUNTIF(AD$78:AD157,AD157)=1,MAX(AC$78:AC156)+1,"")</f>
        <v/>
      </c>
      <c r="AD157" s="220">
        <f>'[2]Изложницы без бурта'!B157</f>
        <v>110</v>
      </c>
      <c r="AE157" s="220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581</v>
      </c>
      <c r="AM157" s="56">
        <f>'[2]Изложницы без бурта'!K157</f>
        <v>0</v>
      </c>
    </row>
    <row r="158" spans="1:50" ht="14.4" thickBot="1" x14ac:dyDescent="0.3">
      <c r="A158" s="333" t="s">
        <v>322</v>
      </c>
      <c r="K158" s="1742" t="s">
        <v>383</v>
      </c>
      <c r="L158" s="1743"/>
      <c r="M158" s="1743"/>
      <c r="N158" s="1743"/>
      <c r="O158" s="1743"/>
      <c r="P158" s="1743"/>
      <c r="Q158" s="906"/>
      <c r="R158" s="138"/>
      <c r="S158" s="906">
        <f ca="1">IF(R156=TRUE,32,((цб!N25*0.985-2*M167)-цб!N5)/2)</f>
        <v>16.5</v>
      </c>
      <c r="T158" s="239"/>
      <c r="U158" s="239"/>
      <c r="V158" s="239"/>
      <c r="AB158" s="258">
        <f t="shared" si="4"/>
        <v>290</v>
      </c>
      <c r="AC158" s="259">
        <f>IF(COUNTIF(AD$78:AD158,AD158)=1,MAX(AC$78:AC157)+1,"")</f>
        <v>11</v>
      </c>
      <c r="AD158" s="220">
        <f>'[2]Изложницы без бурта'!B158</f>
        <v>112.5</v>
      </c>
      <c r="AE158" s="220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582</v>
      </c>
      <c r="AM158" s="56">
        <f>'[2]Изложницы без бурта'!K158</f>
        <v>45070</v>
      </c>
    </row>
    <row r="159" spans="1:50" ht="16.2" thickBot="1" x14ac:dyDescent="0.35">
      <c r="A159" s="56" t="s">
        <v>334</v>
      </c>
      <c r="K159" s="908" t="s">
        <v>384</v>
      </c>
      <c r="L159" s="906">
        <f>HLOOKUP(TRUE,K161:S162,2,FALSE)</f>
        <v>20</v>
      </c>
      <c r="M159" s="906" t="s">
        <v>391</v>
      </c>
      <c r="N159" s="906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906">
        <f>N159/100+1</f>
        <v>3</v>
      </c>
      <c r="P159" s="1008" t="s">
        <v>401</v>
      </c>
      <c r="Q159" s="1009">
        <f>IF(R156=TRUE,32,((цб!N4-цб!N5)/2))</f>
        <v>20</v>
      </c>
      <c r="R159" s="1010"/>
      <c r="S159" s="907"/>
      <c r="T159" s="455"/>
      <c r="U159" s="455"/>
      <c r="V159" s="239"/>
      <c r="AB159" s="258">
        <f t="shared" si="4"/>
        <v>292.5</v>
      </c>
      <c r="AC159" s="259" t="str">
        <f>IF(COUNTIF(AD$78:AD159,AD159)=1,MAX(AC$78:AC158)+1,"")</f>
        <v/>
      </c>
      <c r="AD159" s="220">
        <f>'[2]Изложницы без бурта'!B159</f>
        <v>112.5</v>
      </c>
      <c r="AE159" s="220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582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08" t="s">
        <v>390</v>
      </c>
      <c r="L160" s="906">
        <f ca="1">IF(Q160&lt;60,1,1.3)</f>
        <v>1</v>
      </c>
      <c r="M160" s="906"/>
      <c r="N160" s="906"/>
      <c r="O160" s="906"/>
      <c r="P160" s="906" t="s">
        <v>402</v>
      </c>
      <c r="Q160" s="906">
        <f ca="1">IF(R156=TRUE,32,(цб!N25*0.99-цб!N19)/2)</f>
        <v>30.25</v>
      </c>
      <c r="R160" s="785"/>
      <c r="S160" s="907"/>
      <c r="T160" s="239"/>
      <c r="U160" s="239"/>
      <c r="V160" s="239"/>
      <c r="AB160" s="258">
        <f t="shared" si="4"/>
        <v>295</v>
      </c>
      <c r="AC160" s="259" t="str">
        <f>IF(COUNTIF(AD$78:AD160,AD160)=1,MAX(AC$78:AC159)+1,"")</f>
        <v/>
      </c>
      <c r="AD160" s="220">
        <f>'[2]Изложницы без бурта'!B160</f>
        <v>112.5</v>
      </c>
      <c r="AE160" s="220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582</v>
      </c>
      <c r="AM160" s="56">
        <f>'[2]Изложницы без бурта'!K160</f>
        <v>0</v>
      </c>
    </row>
    <row r="161" spans="1:39" x14ac:dyDescent="0.25">
      <c r="A161" s="334"/>
      <c r="B161" s="335">
        <v>100</v>
      </c>
      <c r="C161" s="335">
        <v>200</v>
      </c>
      <c r="D161" s="335">
        <v>300</v>
      </c>
      <c r="E161" s="335">
        <v>400</v>
      </c>
      <c r="F161" s="335">
        <v>500</v>
      </c>
      <c r="G161" s="335">
        <v>600</v>
      </c>
      <c r="H161" s="336">
        <v>700</v>
      </c>
      <c r="K161" s="228" t="b">
        <f>Q159&lt;=A163</f>
        <v>0</v>
      </c>
      <c r="L161" s="138" t="b">
        <f>Q159&lt;=A164</f>
        <v>1</v>
      </c>
      <c r="M161" s="138" t="b">
        <f>Q159&lt;=A165</f>
        <v>1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7" t="b">
        <f>Q159&lt;=A171</f>
        <v>1</v>
      </c>
      <c r="T161" s="239"/>
      <c r="U161" s="239"/>
      <c r="V161" s="239"/>
      <c r="AB161" s="258">
        <f t="shared" si="4"/>
        <v>297.5</v>
      </c>
      <c r="AC161" s="259" t="str">
        <f>IF(COUNTIF(AD$78:AD161,AD161)=1,MAX(AC$78:AC160)+1,"")</f>
        <v/>
      </c>
      <c r="AD161" s="220">
        <f>'[2]Изложницы без бурта'!B161</f>
        <v>112.5</v>
      </c>
      <c r="AE161" s="220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582</v>
      </c>
      <c r="AM161" s="56">
        <f>'[2]Изложницы без бурта'!K161</f>
        <v>0</v>
      </c>
    </row>
    <row r="162" spans="1:39" ht="14.4" thickBot="1" x14ac:dyDescent="0.3">
      <c r="A162" s="334">
        <v>0</v>
      </c>
      <c r="B162" s="335">
        <v>3.5</v>
      </c>
      <c r="C162" s="335">
        <v>4.5</v>
      </c>
      <c r="D162" s="335">
        <v>5.5</v>
      </c>
      <c r="E162" s="335">
        <v>6.5</v>
      </c>
      <c r="F162" s="335">
        <v>7.5</v>
      </c>
      <c r="G162" s="335">
        <v>10</v>
      </c>
      <c r="H162" s="336">
        <v>10</v>
      </c>
      <c r="K162" s="311">
        <v>10</v>
      </c>
      <c r="L162" s="312">
        <v>20</v>
      </c>
      <c r="M162" s="312">
        <v>30</v>
      </c>
      <c r="N162" s="312">
        <v>50</v>
      </c>
      <c r="O162" s="312">
        <v>80</v>
      </c>
      <c r="P162" s="312">
        <v>120</v>
      </c>
      <c r="Q162" s="312">
        <v>150</v>
      </c>
      <c r="R162" s="312">
        <v>200</v>
      </c>
      <c r="S162" s="314">
        <v>300</v>
      </c>
      <c r="AB162" s="258">
        <f t="shared" si="4"/>
        <v>300</v>
      </c>
      <c r="AC162" s="259" t="str">
        <f>IF(COUNTIF(AD$78:AD162,AD162)=1,MAX(AC$78:AC161)+1,"")</f>
        <v/>
      </c>
      <c r="AD162" s="220">
        <f>'[2]Изложницы без бурта'!B162</f>
        <v>112.5</v>
      </c>
      <c r="AE162" s="220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582</v>
      </c>
      <c r="AM162" s="56">
        <f>'[2]Изложницы без бурта'!K162</f>
        <v>0</v>
      </c>
    </row>
    <row r="163" spans="1:39" x14ac:dyDescent="0.25">
      <c r="A163" s="334">
        <v>10</v>
      </c>
      <c r="B163" s="336">
        <v>4</v>
      </c>
      <c r="C163" s="335">
        <v>5</v>
      </c>
      <c r="D163" s="334">
        <v>6</v>
      </c>
      <c r="E163" s="334">
        <v>7.5</v>
      </c>
      <c r="F163" s="334">
        <v>8</v>
      </c>
      <c r="G163" s="334">
        <v>10</v>
      </c>
      <c r="H163" s="336">
        <v>10</v>
      </c>
      <c r="AB163" s="258">
        <f t="shared" si="4"/>
        <v>302.5</v>
      </c>
      <c r="AC163" s="259" t="str">
        <f>IF(COUNTIF(AD$78:AD163,AD163)=1,MAX(AC$78:AC162)+1,"")</f>
        <v/>
      </c>
      <c r="AD163" s="220">
        <f>'[2]Изложницы без бурта'!B163</f>
        <v>112.5</v>
      </c>
      <c r="AE163" s="220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582</v>
      </c>
      <c r="AM163" s="56">
        <f>'[2]Изложницы без бурта'!K163</f>
        <v>0</v>
      </c>
    </row>
    <row r="164" spans="1:39" x14ac:dyDescent="0.25">
      <c r="A164" s="334">
        <v>20</v>
      </c>
      <c r="B164" s="335">
        <v>7</v>
      </c>
      <c r="C164" s="334">
        <v>8</v>
      </c>
      <c r="D164" s="334">
        <v>10</v>
      </c>
      <c r="E164" s="334">
        <v>11.5</v>
      </c>
      <c r="F164" s="334">
        <v>12.5</v>
      </c>
      <c r="G164" s="334">
        <v>14</v>
      </c>
      <c r="H164" s="336">
        <v>14</v>
      </c>
      <c r="AB164" s="258">
        <f t="shared" si="4"/>
        <v>305</v>
      </c>
      <c r="AC164" s="259" t="str">
        <f>IF(COUNTIF(AD$78:AD164,AD164)=1,MAX(AC$78:AC163)+1,"")</f>
        <v/>
      </c>
      <c r="AD164" s="220">
        <f>'[2]Изложницы без бурта'!B164</f>
        <v>112.5</v>
      </c>
      <c r="AE164" s="220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582</v>
      </c>
      <c r="AM164" s="56">
        <f>'[2]Изложницы без бурта'!K164</f>
        <v>0</v>
      </c>
    </row>
    <row r="165" spans="1:39" x14ac:dyDescent="0.25">
      <c r="A165" s="334">
        <v>30</v>
      </c>
      <c r="B165" s="335">
        <v>10</v>
      </c>
      <c r="C165" s="335">
        <v>11</v>
      </c>
      <c r="D165" s="334">
        <v>12</v>
      </c>
      <c r="E165" s="334">
        <v>14</v>
      </c>
      <c r="F165" s="334">
        <v>15</v>
      </c>
      <c r="G165" s="334">
        <v>16.5</v>
      </c>
      <c r="H165" s="336">
        <v>16.5</v>
      </c>
      <c r="AB165" s="258">
        <f t="shared" si="4"/>
        <v>307.5</v>
      </c>
      <c r="AC165" s="259" t="str">
        <f>IF(COUNTIF(AD$78:AD165,AD165)=1,MAX(AC$78:AC164)+1,"")</f>
        <v/>
      </c>
      <c r="AD165" s="220">
        <f>'[2]Изложницы без бурта'!B165</f>
        <v>112.5</v>
      </c>
      <c r="AE165" s="220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582</v>
      </c>
      <c r="AM165" s="56">
        <f>'[2]Изложницы без бурта'!K165</f>
        <v>0</v>
      </c>
    </row>
    <row r="166" spans="1:39" x14ac:dyDescent="0.25">
      <c r="A166" s="336">
        <v>50</v>
      </c>
      <c r="B166" s="335">
        <v>13</v>
      </c>
      <c r="C166" s="335">
        <v>15</v>
      </c>
      <c r="D166" s="334">
        <v>18</v>
      </c>
      <c r="E166" s="334">
        <v>19.5</v>
      </c>
      <c r="F166" s="334">
        <v>21.5</v>
      </c>
      <c r="G166" s="334">
        <v>23</v>
      </c>
      <c r="H166" s="336">
        <v>23</v>
      </c>
      <c r="K166" s="220" t="s">
        <v>393</v>
      </c>
      <c r="L166" s="220">
        <f>IF(E157=1,HLOOKUP(N159,A161:H171,2,FALSE),IF(E157=2,HLOOKUP(N159,A175:H185,2,FALSE),HLOOKUP(N159,A190:H199,2,FALSE)))</f>
        <v>4.5</v>
      </c>
      <c r="M166" s="317" t="s">
        <v>400</v>
      </c>
      <c r="AB166" s="258">
        <f t="shared" si="4"/>
        <v>310</v>
      </c>
      <c r="AC166" s="259" t="str">
        <f>IF(COUNTIF(AD$78:AD166,AD166)=1,MAX(AC$78:AC165)+1,"")</f>
        <v/>
      </c>
      <c r="AD166" s="220">
        <f>'[2]Изложницы без бурта'!B166</f>
        <v>112.5</v>
      </c>
      <c r="AE166" s="220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582</v>
      </c>
      <c r="AM166" s="56">
        <f>'[2]Изложницы без бурта'!K166</f>
        <v>0</v>
      </c>
    </row>
    <row r="167" spans="1:39" x14ac:dyDescent="0.25">
      <c r="A167" s="336">
        <v>80</v>
      </c>
      <c r="B167" s="335">
        <v>13</v>
      </c>
      <c r="C167" s="335">
        <v>18</v>
      </c>
      <c r="D167" s="334">
        <v>20</v>
      </c>
      <c r="E167" s="334">
        <v>24.5</v>
      </c>
      <c r="F167" s="334">
        <v>25.5</v>
      </c>
      <c r="G167" s="334">
        <v>27</v>
      </c>
      <c r="H167" s="336">
        <v>27</v>
      </c>
      <c r="K167" s="220" t="s">
        <v>394</v>
      </c>
      <c r="L167" s="220">
        <f>IF(E157=1,VLOOKUP(L159,A161:H171,O159,FALSE),IF(E157=2,VLOOKUP(L159,A175:H184,O159,FALSE),VLOOKUP(L159,A190:H199,O159,FALSE)))</f>
        <v>6.5</v>
      </c>
      <c r="M167" s="317">
        <f ca="1">L167*L160</f>
        <v>6.5</v>
      </c>
      <c r="AB167" s="258">
        <f t="shared" si="4"/>
        <v>312.5</v>
      </c>
      <c r="AC167" s="259" t="str">
        <f>IF(COUNTIF(AD$78:AD167,AD167)=1,MAX(AC$78:AC166)+1,"")</f>
        <v/>
      </c>
      <c r="AD167" s="220">
        <f>'[2]Изложницы без бурта'!B167</f>
        <v>112.5</v>
      </c>
      <c r="AE167" s="220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582</v>
      </c>
      <c r="AM167" s="56">
        <f>'[2]Изложницы без бурта'!K167</f>
        <v>0</v>
      </c>
    </row>
    <row r="168" spans="1:39" x14ac:dyDescent="0.25">
      <c r="A168" s="336">
        <v>120</v>
      </c>
      <c r="B168" s="335">
        <v>13</v>
      </c>
      <c r="C168" s="335">
        <v>18</v>
      </c>
      <c r="D168" s="334">
        <v>22</v>
      </c>
      <c r="E168" s="334">
        <v>27.5</v>
      </c>
      <c r="F168" s="334">
        <v>28.5</v>
      </c>
      <c r="G168" s="334">
        <v>30</v>
      </c>
      <c r="H168" s="336">
        <v>30</v>
      </c>
      <c r="AB168" s="258">
        <f t="shared" si="4"/>
        <v>315</v>
      </c>
      <c r="AC168" s="259" t="str">
        <f>IF(COUNTIF(AD$78:AD168,AD168)=1,MAX(AC$78:AC167)+1,"")</f>
        <v/>
      </c>
      <c r="AD168" s="220">
        <f>'[2]Изложницы без бурта'!B168</f>
        <v>112.5</v>
      </c>
      <c r="AE168" s="220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582</v>
      </c>
      <c r="AM168" s="56">
        <f>'[2]Изложницы без бурта'!K168</f>
        <v>0</v>
      </c>
    </row>
    <row r="169" spans="1:39" x14ac:dyDescent="0.25">
      <c r="A169" s="336">
        <v>150</v>
      </c>
      <c r="B169" s="335">
        <v>13</v>
      </c>
      <c r="C169" s="335">
        <v>18</v>
      </c>
      <c r="D169" s="334">
        <v>24.5</v>
      </c>
      <c r="E169" s="334">
        <v>27.5</v>
      </c>
      <c r="F169" s="334">
        <v>28.5</v>
      </c>
      <c r="G169" s="336">
        <v>30</v>
      </c>
      <c r="H169" s="336">
        <v>32.5</v>
      </c>
      <c r="J169" s="334" t="s">
        <v>387</v>
      </c>
      <c r="K169" s="56">
        <f ca="1">VLOOKUP(E157,I173:O175,M169,FALSE)</f>
        <v>30</v>
      </c>
      <c r="L169" s="56" t="s">
        <v>403</v>
      </c>
      <c r="M169" s="334">
        <f ca="1">HLOOKUP(TRUE,J171:O172,2,FALSE)</f>
        <v>4</v>
      </c>
      <c r="AB169" s="258">
        <f t="shared" si="4"/>
        <v>317.5</v>
      </c>
      <c r="AC169" s="259" t="str">
        <f>IF(COUNTIF(AD$78:AD169,AD169)=1,MAX(AC$78:AC168)+1,"")</f>
        <v/>
      </c>
      <c r="AD169" s="220">
        <f>'[2]Изложницы без бурта'!B169</f>
        <v>112.5</v>
      </c>
      <c r="AE169" s="220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582</v>
      </c>
      <c r="AM169" s="56">
        <f>'[2]Изложницы без бурта'!K169</f>
        <v>0</v>
      </c>
    </row>
    <row r="170" spans="1:39" x14ac:dyDescent="0.25">
      <c r="A170" s="336">
        <v>200</v>
      </c>
      <c r="B170" s="335">
        <v>13</v>
      </c>
      <c r="C170" s="335">
        <v>18</v>
      </c>
      <c r="D170" s="334">
        <v>24.5</v>
      </c>
      <c r="E170" s="334">
        <v>27.5</v>
      </c>
      <c r="F170" s="334">
        <v>28.5</v>
      </c>
      <c r="G170" s="336">
        <v>30</v>
      </c>
      <c r="H170" s="336">
        <v>32.5</v>
      </c>
      <c r="J170" s="334">
        <v>15</v>
      </c>
      <c r="K170" s="334">
        <v>25</v>
      </c>
      <c r="L170" s="334">
        <v>35</v>
      </c>
      <c r="M170" s="334">
        <v>60</v>
      </c>
      <c r="N170" s="334">
        <v>100</v>
      </c>
      <c r="O170" s="334">
        <v>300</v>
      </c>
      <c r="AB170" s="258">
        <f t="shared" si="4"/>
        <v>320</v>
      </c>
      <c r="AC170" s="259">
        <f>IF(COUNTIF(AD$78:AD170,AD170)=1,MAX(AC$78:AC169)+1,"")</f>
        <v>12</v>
      </c>
      <c r="AD170" s="220">
        <f>'[2]Изложницы без бурта'!B170</f>
        <v>115</v>
      </c>
      <c r="AE170" s="220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583</v>
      </c>
      <c r="AM170" s="56">
        <f>'[2]Изложницы без бурта'!K170</f>
        <v>0</v>
      </c>
    </row>
    <row r="171" spans="1:39" x14ac:dyDescent="0.25">
      <c r="A171" s="336">
        <v>300</v>
      </c>
      <c r="B171" s="335">
        <v>13</v>
      </c>
      <c r="C171" s="335">
        <v>18</v>
      </c>
      <c r="D171" s="334">
        <v>24.5</v>
      </c>
      <c r="E171" s="334">
        <v>27.5</v>
      </c>
      <c r="F171" s="334">
        <v>28.5</v>
      </c>
      <c r="G171" s="336">
        <v>30</v>
      </c>
      <c r="H171" s="336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1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8">
        <f t="shared" si="4"/>
        <v>322.5</v>
      </c>
      <c r="AC171" s="259" t="str">
        <f>IF(COUNTIF(AD$78:AD171,AD171)=1,MAX(AC$78:AC170)+1,"")</f>
        <v/>
      </c>
      <c r="AD171" s="220">
        <f>'[2]Изложницы без бурта'!B171</f>
        <v>115</v>
      </c>
      <c r="AE171" s="220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583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4">
        <v>2</v>
      </c>
      <c r="K172" s="334">
        <v>3</v>
      </c>
      <c r="L172" s="334">
        <v>4</v>
      </c>
      <c r="M172" s="334">
        <v>5</v>
      </c>
      <c r="N172" s="334">
        <v>6</v>
      </c>
      <c r="O172" s="334">
        <v>7</v>
      </c>
      <c r="AB172" s="258">
        <f t="shared" si="4"/>
        <v>325</v>
      </c>
      <c r="AC172" s="259" t="str">
        <f>IF(COUNTIF(AD$78:AD172,AD172)=1,MAX(AC$78:AC171)+1,"")</f>
        <v/>
      </c>
      <c r="AD172" s="220">
        <f>'[2]Изложницы без бурта'!B172</f>
        <v>115</v>
      </c>
      <c r="AE172" s="220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583</v>
      </c>
      <c r="AM172" s="56">
        <f>'[2]Изложницы без бурта'!K172</f>
        <v>0</v>
      </c>
    </row>
    <row r="173" spans="1:39" x14ac:dyDescent="0.25">
      <c r="A173" s="56" t="s">
        <v>392</v>
      </c>
      <c r="H173" s="138"/>
      <c r="I173" s="56">
        <v>1</v>
      </c>
      <c r="J173" s="334">
        <v>25</v>
      </c>
      <c r="K173" s="334">
        <v>32</v>
      </c>
      <c r="L173" s="334">
        <v>37</v>
      </c>
      <c r="M173" s="334">
        <v>45</v>
      </c>
      <c r="N173" s="334">
        <v>55</v>
      </c>
      <c r="O173" s="334">
        <v>60</v>
      </c>
      <c r="AB173" s="258">
        <f t="shared" si="4"/>
        <v>327.5</v>
      </c>
      <c r="AC173" s="259" t="str">
        <f>IF(COUNTIF(AD$78:AD173,AD173)=1,MAX(AC$78:AC172)+1,"")</f>
        <v/>
      </c>
      <c r="AD173" s="220">
        <f>'[2]Изложницы без бурта'!B173</f>
        <v>115</v>
      </c>
      <c r="AE173" s="220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583</v>
      </c>
      <c r="AM173" s="56">
        <f>'[2]Изложницы без бурта'!K173</f>
        <v>0</v>
      </c>
    </row>
    <row r="174" spans="1:39" x14ac:dyDescent="0.25">
      <c r="A174" s="336"/>
      <c r="B174" s="336"/>
      <c r="C174" s="336"/>
      <c r="D174" s="336"/>
      <c r="E174" s="336"/>
      <c r="F174" s="336"/>
      <c r="G174" s="336"/>
      <c r="H174" s="336"/>
      <c r="I174" s="56">
        <v>2</v>
      </c>
      <c r="J174" s="334">
        <v>20</v>
      </c>
      <c r="K174" s="334">
        <v>28</v>
      </c>
      <c r="L174" s="334">
        <v>32</v>
      </c>
      <c r="M174" s="334">
        <v>40</v>
      </c>
      <c r="N174" s="334">
        <v>45</v>
      </c>
      <c r="O174" s="334">
        <v>50</v>
      </c>
      <c r="AB174" s="258">
        <f t="shared" si="4"/>
        <v>330</v>
      </c>
      <c r="AC174" s="259" t="str">
        <f>IF(COUNTIF(AD$78:AD174,AD174)=1,MAX(AC$78:AC173)+1,"")</f>
        <v/>
      </c>
      <c r="AD174" s="220">
        <f>'[2]Изложницы без бурта'!B174</f>
        <v>115</v>
      </c>
      <c r="AE174" s="220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583</v>
      </c>
      <c r="AM174" s="56">
        <f>'[2]Изложницы без бурта'!K174</f>
        <v>0</v>
      </c>
    </row>
    <row r="175" spans="1:39" x14ac:dyDescent="0.25">
      <c r="A175" s="334"/>
      <c r="B175" s="335">
        <v>100</v>
      </c>
      <c r="C175" s="335">
        <v>200</v>
      </c>
      <c r="D175" s="335">
        <v>300</v>
      </c>
      <c r="E175" s="335">
        <v>400</v>
      </c>
      <c r="F175" s="335">
        <v>500</v>
      </c>
      <c r="G175" s="335">
        <v>600</v>
      </c>
      <c r="H175" s="334">
        <v>700</v>
      </c>
      <c r="I175" s="56">
        <v>3</v>
      </c>
      <c r="J175" s="334">
        <v>20</v>
      </c>
      <c r="K175" s="334">
        <v>25</v>
      </c>
      <c r="L175" s="334">
        <v>30</v>
      </c>
      <c r="M175" s="334">
        <v>35</v>
      </c>
      <c r="N175" s="334">
        <v>40</v>
      </c>
      <c r="O175" s="334">
        <v>45</v>
      </c>
      <c r="AB175" s="258">
        <f t="shared" si="4"/>
        <v>332.5</v>
      </c>
      <c r="AC175" s="259" t="str">
        <f>IF(COUNTIF(AD$78:AD175,AD175)=1,MAX(AC$78:AC174)+1,"")</f>
        <v/>
      </c>
      <c r="AD175" s="220">
        <f>'[2]Изложницы без бурта'!B175</f>
        <v>115</v>
      </c>
      <c r="AE175" s="220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583</v>
      </c>
      <c r="AM175" s="56">
        <f>'[2]Изложницы без бурта'!K175</f>
        <v>0</v>
      </c>
    </row>
    <row r="176" spans="1:39" x14ac:dyDescent="0.25">
      <c r="A176" s="334">
        <v>0</v>
      </c>
      <c r="B176" s="335">
        <v>3.5</v>
      </c>
      <c r="C176" s="335">
        <v>4.5</v>
      </c>
      <c r="D176" s="335">
        <v>5.5</v>
      </c>
      <c r="E176" s="335">
        <v>6.5</v>
      </c>
      <c r="F176" s="335">
        <v>7.5</v>
      </c>
      <c r="G176" s="335">
        <v>10</v>
      </c>
      <c r="H176" s="334">
        <v>10</v>
      </c>
      <c r="J176" s="316"/>
      <c r="K176" s="316"/>
      <c r="L176" s="316"/>
      <c r="M176" s="316"/>
      <c r="N176" s="316"/>
      <c r="O176" s="316"/>
      <c r="AB176" s="258">
        <f t="shared" si="4"/>
        <v>335</v>
      </c>
      <c r="AC176" s="259" t="str">
        <f>IF(COUNTIF(AD$78:AD176,AD176)=1,MAX(AC$78:AC175)+1,"")</f>
        <v/>
      </c>
      <c r="AD176" s="220">
        <f>'[2]Изложницы без бурта'!B176</f>
        <v>115</v>
      </c>
      <c r="AE176" s="220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583</v>
      </c>
      <c r="AM176" s="56">
        <f>'[2]Изложницы без бурта'!K176</f>
        <v>0</v>
      </c>
    </row>
    <row r="177" spans="1:39" x14ac:dyDescent="0.25">
      <c r="A177" s="334">
        <v>10</v>
      </c>
      <c r="B177" s="336">
        <v>4</v>
      </c>
      <c r="C177" s="335">
        <v>5</v>
      </c>
      <c r="D177" s="334">
        <v>6</v>
      </c>
      <c r="E177" s="334">
        <v>7.5</v>
      </c>
      <c r="F177" s="334">
        <v>8.5</v>
      </c>
      <c r="G177" s="334">
        <v>10</v>
      </c>
      <c r="H177" s="334">
        <v>10</v>
      </c>
      <c r="J177" s="316"/>
      <c r="K177" s="316"/>
      <c r="L177" s="316"/>
      <c r="M177" s="316"/>
      <c r="N177" s="316"/>
      <c r="O177" s="316"/>
      <c r="AB177" s="258">
        <f t="shared" si="4"/>
        <v>337.5</v>
      </c>
      <c r="AC177" s="259" t="str">
        <f>IF(COUNTIF(AD$78:AD177,AD177)=1,MAX(AC$78:AC176)+1,"")</f>
        <v/>
      </c>
      <c r="AD177" s="220">
        <f>'[2]Изложницы без бурта'!B177</f>
        <v>115</v>
      </c>
      <c r="AE177" s="220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583</v>
      </c>
      <c r="AM177" s="56">
        <f>'[2]Изложницы без бурта'!K177</f>
        <v>0</v>
      </c>
    </row>
    <row r="178" spans="1:39" x14ac:dyDescent="0.25">
      <c r="A178" s="334">
        <v>20</v>
      </c>
      <c r="B178" s="335">
        <v>6.5</v>
      </c>
      <c r="C178" s="334">
        <v>7.5</v>
      </c>
      <c r="D178" s="334">
        <v>10.5</v>
      </c>
      <c r="E178" s="334">
        <v>10.5</v>
      </c>
      <c r="F178" s="334">
        <v>11.5</v>
      </c>
      <c r="G178" s="334">
        <v>13</v>
      </c>
      <c r="H178" s="334">
        <v>13</v>
      </c>
      <c r="J178" s="316"/>
      <c r="AB178" s="258">
        <f t="shared" si="4"/>
        <v>340</v>
      </c>
      <c r="AC178" s="259" t="str">
        <f>IF(COUNTIF(AD$78:AD178,AD178)=1,MAX(AC$78:AC177)+1,"")</f>
        <v/>
      </c>
      <c r="AD178" s="220">
        <f>'[2]Изложницы без бурта'!B178</f>
        <v>115</v>
      </c>
      <c r="AE178" s="220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583</v>
      </c>
      <c r="AM178" s="56">
        <f>'[2]Изложницы без бурта'!K178</f>
        <v>0</v>
      </c>
    </row>
    <row r="179" spans="1:39" x14ac:dyDescent="0.25">
      <c r="A179" s="334">
        <v>30</v>
      </c>
      <c r="B179" s="335">
        <v>8.5</v>
      </c>
      <c r="C179" s="335">
        <v>9.5</v>
      </c>
      <c r="D179" s="334">
        <v>10.5</v>
      </c>
      <c r="E179" s="334">
        <v>12.5</v>
      </c>
      <c r="F179" s="334">
        <v>13.5</v>
      </c>
      <c r="G179" s="334">
        <v>15</v>
      </c>
      <c r="H179" s="334">
        <v>15</v>
      </c>
      <c r="K179" s="333"/>
      <c r="L179" s="333" t="s">
        <v>399</v>
      </c>
      <c r="M179" s="333">
        <f>VLOOKUP(TRUE,Данные!J183:Q193,O179,FALSE)</f>
        <v>8</v>
      </c>
      <c r="N179" s="333" t="s">
        <v>960</v>
      </c>
      <c r="O179" s="333">
        <f>HLOOKUP(TRUE,L181:Q182,2,FALSE)+1</f>
        <v>4</v>
      </c>
      <c r="P179" s="333"/>
      <c r="AB179" s="258">
        <f t="shared" si="4"/>
        <v>347.5</v>
      </c>
      <c r="AC179" s="259">
        <f>IF(COUNTIF(AD$78:AD179,AD179)=1,MAX(AC$78:AC178)+1,"")</f>
        <v>13</v>
      </c>
      <c r="AD179" s="220">
        <f>'[2]Изложницы без бурта'!B179</f>
        <v>117.5</v>
      </c>
      <c r="AE179" s="220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584</v>
      </c>
      <c r="AM179" s="56">
        <f>'[2]Изложницы без бурта'!K179</f>
        <v>0</v>
      </c>
    </row>
    <row r="180" spans="1:39" x14ac:dyDescent="0.25">
      <c r="A180" s="336">
        <v>50</v>
      </c>
      <c r="B180" s="335">
        <v>8.5</v>
      </c>
      <c r="C180" s="335">
        <v>13</v>
      </c>
      <c r="D180" s="334">
        <v>15</v>
      </c>
      <c r="E180" s="334">
        <v>17.5</v>
      </c>
      <c r="F180" s="334">
        <v>19.5</v>
      </c>
      <c r="G180" s="334">
        <v>21</v>
      </c>
      <c r="H180" s="334">
        <v>21</v>
      </c>
      <c r="K180" s="333"/>
      <c r="L180" s="333">
        <v>15</v>
      </c>
      <c r="M180" s="333">
        <v>30</v>
      </c>
      <c r="N180" s="333">
        <v>45</v>
      </c>
      <c r="O180" s="333">
        <v>75</v>
      </c>
      <c r="P180" s="333">
        <v>100</v>
      </c>
      <c r="Q180" s="333">
        <v>300</v>
      </c>
      <c r="AB180" s="258">
        <f t="shared" si="4"/>
        <v>350</v>
      </c>
      <c r="AC180" s="259" t="str">
        <f>IF(COUNTIF(AD$78:AD180,AD180)=1,MAX(AC$78:AC179)+1,"")</f>
        <v/>
      </c>
      <c r="AD180" s="220">
        <f>'[2]Изложницы без бурта'!B180</f>
        <v>117.5</v>
      </c>
      <c r="AE180" s="220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584</v>
      </c>
      <c r="AM180" s="56">
        <f>'[2]Изложницы без бурта'!K180</f>
        <v>0</v>
      </c>
    </row>
    <row r="181" spans="1:39" x14ac:dyDescent="0.25">
      <c r="A181" s="336">
        <v>80</v>
      </c>
      <c r="B181" s="335">
        <v>8.5</v>
      </c>
      <c r="C181" s="335">
        <v>13</v>
      </c>
      <c r="D181" s="334">
        <v>17.5</v>
      </c>
      <c r="E181" s="334">
        <v>21</v>
      </c>
      <c r="F181" s="334">
        <v>22</v>
      </c>
      <c r="G181" s="334">
        <v>23.5</v>
      </c>
      <c r="H181" s="334">
        <v>23.5</v>
      </c>
      <c r="K181" s="317"/>
      <c r="L181" s="337" t="b">
        <f t="shared" ref="L181:Q181" si="6">$Q159&lt;L180</f>
        <v>0</v>
      </c>
      <c r="M181" s="337" t="b">
        <f t="shared" si="6"/>
        <v>1</v>
      </c>
      <c r="N181" s="337" t="b">
        <f t="shared" si="6"/>
        <v>1</v>
      </c>
      <c r="O181" s="337" t="b">
        <f t="shared" si="6"/>
        <v>1</v>
      </c>
      <c r="P181" s="337" t="b">
        <f t="shared" si="6"/>
        <v>1</v>
      </c>
      <c r="Q181" s="337" t="b">
        <f t="shared" si="6"/>
        <v>1</v>
      </c>
      <c r="AB181" s="258">
        <f t="shared" si="4"/>
        <v>355</v>
      </c>
      <c r="AC181" s="259" t="str">
        <f>IF(COUNTIF(AD$78:AD181,AD181)=1,MAX(AC$78:AC180)+1,"")</f>
        <v/>
      </c>
      <c r="AD181" s="220">
        <f>'[2]Изложницы без бурта'!B181</f>
        <v>117.5</v>
      </c>
      <c r="AE181" s="220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584</v>
      </c>
      <c r="AM181" s="56">
        <f>'[2]Изложницы без бурта'!K181</f>
        <v>0</v>
      </c>
    </row>
    <row r="182" spans="1:39" x14ac:dyDescent="0.25">
      <c r="A182" s="336">
        <v>120</v>
      </c>
      <c r="B182" s="335">
        <v>8.5</v>
      </c>
      <c r="C182" s="335">
        <v>13</v>
      </c>
      <c r="D182" s="334">
        <v>18.5</v>
      </c>
      <c r="E182" s="334">
        <v>23.5</v>
      </c>
      <c r="F182" s="334">
        <v>24.5</v>
      </c>
      <c r="G182" s="334">
        <v>26</v>
      </c>
      <c r="H182" s="334">
        <v>26</v>
      </c>
      <c r="K182" s="334">
        <v>1</v>
      </c>
      <c r="L182" s="334">
        <v>2</v>
      </c>
      <c r="M182" s="334">
        <v>3</v>
      </c>
      <c r="N182" s="334">
        <v>4</v>
      </c>
      <c r="O182" s="334">
        <v>5</v>
      </c>
      <c r="P182" s="334">
        <v>6</v>
      </c>
      <c r="Q182" s="334">
        <v>7</v>
      </c>
      <c r="AB182" s="258">
        <f t="shared" si="4"/>
        <v>360</v>
      </c>
      <c r="AC182" s="259">
        <f>IF(COUNTIF(AD$78:AD182,AD182)=1,MAX(AC$78:AC181)+1,"")</f>
        <v>14</v>
      </c>
      <c r="AD182" s="220">
        <f>'[2]Изложницы без бурта'!B182</f>
        <v>120</v>
      </c>
      <c r="AE182" s="220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585</v>
      </c>
      <c r="AM182" s="56">
        <f>'[2]Изложницы без бурта'!K182</f>
        <v>0</v>
      </c>
    </row>
    <row r="183" spans="1:39" x14ac:dyDescent="0.25">
      <c r="A183" s="336">
        <v>150</v>
      </c>
      <c r="B183" s="335">
        <v>8.5</v>
      </c>
      <c r="C183" s="335">
        <v>13</v>
      </c>
      <c r="D183" s="334">
        <v>18.5</v>
      </c>
      <c r="E183" s="334">
        <v>23.5</v>
      </c>
      <c r="F183" s="334">
        <v>24.5</v>
      </c>
      <c r="G183" s="336">
        <v>28</v>
      </c>
      <c r="H183" s="334">
        <v>28</v>
      </c>
      <c r="J183" s="56" t="b">
        <f>цб!$N$4&lt;=Данные!K183</f>
        <v>0</v>
      </c>
      <c r="K183" s="334">
        <v>100</v>
      </c>
      <c r="L183" s="334">
        <v>6</v>
      </c>
      <c r="M183" s="334">
        <v>8</v>
      </c>
      <c r="N183" s="334">
        <v>10</v>
      </c>
      <c r="O183" s="334">
        <v>12</v>
      </c>
      <c r="P183" s="334">
        <v>12</v>
      </c>
      <c r="Q183" s="334">
        <v>14</v>
      </c>
      <c r="AB183" s="258">
        <f t="shared" si="4"/>
        <v>365</v>
      </c>
      <c r="AC183" s="259" t="str">
        <f>IF(COUNTIF(AD$78:AD183,AD183)=1,MAX(AC$78:AC182)+1,"")</f>
        <v/>
      </c>
      <c r="AD183" s="220">
        <f>'[2]Изложницы без бурта'!B183</f>
        <v>120</v>
      </c>
      <c r="AE183" s="220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585</v>
      </c>
      <c r="AM183" s="56">
        <f>'[2]Изложницы без бурта'!K183</f>
        <v>0</v>
      </c>
    </row>
    <row r="184" spans="1:39" x14ac:dyDescent="0.25">
      <c r="A184" s="336">
        <v>200</v>
      </c>
      <c r="B184" s="335">
        <v>8.5</v>
      </c>
      <c r="C184" s="335">
        <v>13</v>
      </c>
      <c r="D184" s="334">
        <v>18.5</v>
      </c>
      <c r="E184" s="334">
        <v>23.5</v>
      </c>
      <c r="F184" s="334">
        <v>24.5</v>
      </c>
      <c r="G184" s="336">
        <v>28</v>
      </c>
      <c r="H184" s="334">
        <v>28</v>
      </c>
      <c r="J184" s="56" t="b">
        <f>цб!$N$4&lt;=Данные!K184</f>
        <v>0</v>
      </c>
      <c r="K184" s="334">
        <v>150</v>
      </c>
      <c r="L184" s="334">
        <v>6</v>
      </c>
      <c r="M184" s="334">
        <v>8</v>
      </c>
      <c r="N184" s="334">
        <v>10</v>
      </c>
      <c r="O184" s="334">
        <v>12</v>
      </c>
      <c r="P184" s="334">
        <v>12</v>
      </c>
      <c r="Q184" s="334">
        <v>14</v>
      </c>
      <c r="AB184" s="258">
        <f t="shared" si="4"/>
        <v>367.5</v>
      </c>
      <c r="AC184" s="259" t="str">
        <f>IF(COUNTIF(AD$78:AD184,AD184)=1,MAX(AC$78:AC183)+1,"")</f>
        <v/>
      </c>
      <c r="AD184" s="220">
        <f>'[2]Изложницы без бурта'!B184</f>
        <v>120</v>
      </c>
      <c r="AE184" s="220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585</v>
      </c>
      <c r="AM184" s="56">
        <f>'[2]Изложницы без бурта'!K184</f>
        <v>0</v>
      </c>
    </row>
    <row r="185" spans="1:39" x14ac:dyDescent="0.25">
      <c r="A185" s="336"/>
      <c r="B185" s="335"/>
      <c r="C185" s="335"/>
      <c r="D185" s="334"/>
      <c r="E185" s="334"/>
      <c r="F185" s="334"/>
      <c r="G185" s="336"/>
      <c r="H185" s="334"/>
      <c r="J185" s="56" t="b">
        <f>цб!$N$4&lt;=Данные!K185</f>
        <v>1</v>
      </c>
      <c r="K185" s="334">
        <v>200</v>
      </c>
      <c r="L185" s="334">
        <v>6</v>
      </c>
      <c r="M185" s="334">
        <v>8</v>
      </c>
      <c r="N185" s="334">
        <v>10</v>
      </c>
      <c r="O185" s="334">
        <v>12</v>
      </c>
      <c r="P185" s="334">
        <v>12</v>
      </c>
      <c r="Q185" s="334">
        <v>14</v>
      </c>
      <c r="AB185" s="258">
        <f t="shared" si="4"/>
        <v>370</v>
      </c>
      <c r="AC185" s="259" t="str">
        <f>IF(COUNTIF(AD$78:AD185,AD185)=1,MAX(AC$78:AC184)+1,"")</f>
        <v/>
      </c>
      <c r="AD185" s="220">
        <f>'[2]Изложницы без бурта'!B185</f>
        <v>120</v>
      </c>
      <c r="AE185" s="220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585</v>
      </c>
      <c r="AM185" s="56">
        <f>'[2]Изложницы без бурта'!K185</f>
        <v>0</v>
      </c>
    </row>
    <row r="186" spans="1:39" x14ac:dyDescent="0.25">
      <c r="A186" s="239"/>
      <c r="J186" s="56" t="b">
        <f>цб!$N$4&lt;=Данные!K186</f>
        <v>1</v>
      </c>
      <c r="K186" s="334">
        <v>250</v>
      </c>
      <c r="L186" s="334">
        <v>6</v>
      </c>
      <c r="M186" s="334">
        <v>8</v>
      </c>
      <c r="N186" s="334">
        <v>10</v>
      </c>
      <c r="O186" s="334">
        <v>12</v>
      </c>
      <c r="P186" s="334">
        <v>12</v>
      </c>
      <c r="Q186" s="334">
        <v>14</v>
      </c>
      <c r="AB186" s="258">
        <f t="shared" si="4"/>
        <v>372.5</v>
      </c>
      <c r="AC186" s="259" t="str">
        <f>IF(COUNTIF(AD$78:AD186,AD186)=1,MAX(AC$78:AC185)+1,"")</f>
        <v/>
      </c>
      <c r="AD186" s="220">
        <f>'[2]Изложницы без бурта'!B186</f>
        <v>120</v>
      </c>
      <c r="AE186" s="220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585</v>
      </c>
      <c r="AM186" s="56">
        <f>'[2]Изложницы без бурта'!K186</f>
        <v>0</v>
      </c>
    </row>
    <row r="187" spans="1:39" x14ac:dyDescent="0.25">
      <c r="A187" s="239"/>
      <c r="J187" s="56" t="b">
        <f>цб!$N$4&lt;=Данные!K187</f>
        <v>1</v>
      </c>
      <c r="K187" s="334">
        <v>300</v>
      </c>
      <c r="L187" s="334">
        <v>6</v>
      </c>
      <c r="M187" s="334">
        <v>8</v>
      </c>
      <c r="N187" s="334">
        <v>10</v>
      </c>
      <c r="O187" s="334">
        <v>12</v>
      </c>
      <c r="P187" s="334">
        <v>14</v>
      </c>
      <c r="Q187" s="334">
        <v>14</v>
      </c>
      <c r="AB187" s="258">
        <f t="shared" si="4"/>
        <v>377.5</v>
      </c>
      <c r="AC187" s="259">
        <f>IF(COUNTIF(AD$78:AD187,AD187)=1,MAX(AC$78:AC186)+1,"")</f>
        <v>15</v>
      </c>
      <c r="AD187" s="220">
        <f>'[2]Изложницы без бурта'!B187</f>
        <v>122.5</v>
      </c>
      <c r="AE187" s="220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586</v>
      </c>
      <c r="AM187" s="56">
        <f>'[2]Изложницы без бурта'!K187</f>
        <v>0</v>
      </c>
    </row>
    <row r="188" spans="1:39" x14ac:dyDescent="0.25">
      <c r="A188" s="56" t="s">
        <v>395</v>
      </c>
      <c r="J188" s="56" t="b">
        <f>цб!$N$4&lt;=Данные!K188</f>
        <v>1</v>
      </c>
      <c r="K188" s="334">
        <v>350</v>
      </c>
      <c r="L188" s="334">
        <v>6</v>
      </c>
      <c r="M188" s="334">
        <v>8</v>
      </c>
      <c r="N188" s="334">
        <v>10</v>
      </c>
      <c r="O188" s="334">
        <v>12</v>
      </c>
      <c r="P188" s="334">
        <v>14</v>
      </c>
      <c r="Q188" s="334">
        <v>14</v>
      </c>
      <c r="AB188" s="258">
        <f t="shared" si="4"/>
        <v>380</v>
      </c>
      <c r="AC188" s="259" t="str">
        <f>IF(COUNTIF(AD$78:AD188,AD188)=1,MAX(AC$78:AC187)+1,"")</f>
        <v/>
      </c>
      <c r="AD188" s="220">
        <f>'[2]Изложницы без бурта'!B188</f>
        <v>122.5</v>
      </c>
      <c r="AE188" s="220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586</v>
      </c>
      <c r="AM188" s="56">
        <f>'[2]Изложницы без бурта'!K188</f>
        <v>0</v>
      </c>
    </row>
    <row r="189" spans="1:39" x14ac:dyDescent="0.25">
      <c r="A189" s="336"/>
      <c r="B189" s="336"/>
      <c r="C189" s="336"/>
      <c r="D189" s="336"/>
      <c r="E189" s="336"/>
      <c r="F189" s="336"/>
      <c r="G189" s="336"/>
      <c r="H189" s="334"/>
      <c r="J189" s="56" t="b">
        <f>цб!$N$4&lt;=Данные!K189</f>
        <v>1</v>
      </c>
      <c r="K189" s="334">
        <v>400</v>
      </c>
      <c r="L189" s="334">
        <v>6</v>
      </c>
      <c r="M189" s="334">
        <v>10</v>
      </c>
      <c r="N189" s="334">
        <v>10</v>
      </c>
      <c r="O189" s="334">
        <v>12</v>
      </c>
      <c r="P189" s="334">
        <v>14</v>
      </c>
      <c r="Q189" s="334">
        <v>14</v>
      </c>
      <c r="AB189" s="258">
        <f t="shared" si="4"/>
        <v>382.5</v>
      </c>
      <c r="AC189" s="259" t="str">
        <f>IF(COUNTIF(AD$78:AD189,AD189)=1,MAX(AC$78:AC188)+1,"")</f>
        <v/>
      </c>
      <c r="AD189" s="220">
        <f>'[2]Изложницы без бурта'!B189</f>
        <v>122.5</v>
      </c>
      <c r="AE189" s="220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586</v>
      </c>
      <c r="AM189" s="56">
        <f>'[2]Изложницы без бурта'!K189</f>
        <v>0</v>
      </c>
    </row>
    <row r="190" spans="1:39" x14ac:dyDescent="0.25">
      <c r="A190" s="334"/>
      <c r="B190" s="335">
        <v>100</v>
      </c>
      <c r="C190" s="335">
        <v>200</v>
      </c>
      <c r="D190" s="335">
        <v>300</v>
      </c>
      <c r="E190" s="335">
        <v>400</v>
      </c>
      <c r="F190" s="335">
        <v>500</v>
      </c>
      <c r="G190" s="335">
        <v>600</v>
      </c>
      <c r="H190" s="334">
        <v>700</v>
      </c>
      <c r="J190" s="56" t="b">
        <f>цб!$N$4&lt;=Данные!K190</f>
        <v>1</v>
      </c>
      <c r="K190" s="334">
        <v>600</v>
      </c>
      <c r="L190" s="334">
        <v>10</v>
      </c>
      <c r="M190" s="334">
        <v>10</v>
      </c>
      <c r="N190" s="334">
        <v>12</v>
      </c>
      <c r="O190" s="334">
        <v>14</v>
      </c>
      <c r="P190" s="334">
        <v>14</v>
      </c>
      <c r="Q190" s="334">
        <v>14</v>
      </c>
      <c r="AB190" s="258">
        <f t="shared" si="4"/>
        <v>385</v>
      </c>
      <c r="AC190" s="259" t="str">
        <f>IF(COUNTIF(AD$78:AD190,AD190)=1,MAX(AC$78:AC189)+1,"")</f>
        <v/>
      </c>
      <c r="AD190" s="220">
        <f>'[2]Изложницы без бурта'!B190</f>
        <v>122.5</v>
      </c>
      <c r="AE190" s="220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586</v>
      </c>
      <c r="AM190" s="56">
        <f>'[2]Изложницы без бурта'!K190</f>
        <v>0</v>
      </c>
    </row>
    <row r="191" spans="1:39" x14ac:dyDescent="0.25">
      <c r="A191" s="334">
        <v>0</v>
      </c>
      <c r="B191" s="335">
        <v>3.5</v>
      </c>
      <c r="C191" s="335">
        <v>4.5</v>
      </c>
      <c r="D191" s="335">
        <v>5.5</v>
      </c>
      <c r="E191" s="335">
        <v>6.5</v>
      </c>
      <c r="F191" s="335">
        <v>7.5</v>
      </c>
      <c r="G191" s="335">
        <v>10</v>
      </c>
      <c r="H191" s="334">
        <v>10</v>
      </c>
      <c r="J191" s="56" t="b">
        <f>цб!$N$4&lt;=Данные!K191</f>
        <v>1</v>
      </c>
      <c r="K191" s="335">
        <v>800</v>
      </c>
      <c r="L191" s="335">
        <v>12</v>
      </c>
      <c r="M191" s="335">
        <v>12</v>
      </c>
      <c r="N191" s="335">
        <v>15</v>
      </c>
      <c r="O191" s="335">
        <v>17</v>
      </c>
      <c r="P191" s="335">
        <v>17</v>
      </c>
      <c r="Q191" s="335">
        <v>17</v>
      </c>
      <c r="AB191" s="258">
        <f t="shared" si="4"/>
        <v>390</v>
      </c>
      <c r="AC191" s="259" t="str">
        <f>IF(COUNTIF(AD$78:AD191,AD191)=1,MAX(AC$78:AC190)+1,"")</f>
        <v/>
      </c>
      <c r="AD191" s="220">
        <f>'[2]Изложницы без бурта'!B191</f>
        <v>122.5</v>
      </c>
      <c r="AE191" s="220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586</v>
      </c>
      <c r="AM191" s="56">
        <f>'[2]Изложницы без бурта'!K191</f>
        <v>0</v>
      </c>
    </row>
    <row r="192" spans="1:39" x14ac:dyDescent="0.25">
      <c r="A192" s="334">
        <v>10</v>
      </c>
      <c r="B192" s="336">
        <v>4</v>
      </c>
      <c r="C192" s="335">
        <v>5</v>
      </c>
      <c r="D192" s="334">
        <v>6</v>
      </c>
      <c r="E192" s="334">
        <v>7.5</v>
      </c>
      <c r="F192" s="334">
        <v>8.5</v>
      </c>
      <c r="G192" s="334">
        <v>10</v>
      </c>
      <c r="H192" s="334">
        <v>10</v>
      </c>
      <c r="J192" s="56" t="b">
        <f>цб!$N$4&lt;=Данные!K192</f>
        <v>1</v>
      </c>
      <c r="K192" s="335">
        <v>1200</v>
      </c>
      <c r="L192" s="335">
        <v>16</v>
      </c>
      <c r="M192" s="335">
        <v>16</v>
      </c>
      <c r="N192" s="335">
        <v>18</v>
      </c>
      <c r="O192" s="335">
        <v>20</v>
      </c>
      <c r="P192" s="335">
        <v>20</v>
      </c>
      <c r="Q192" s="335">
        <v>20</v>
      </c>
      <c r="AB192" s="258">
        <f t="shared" si="4"/>
        <v>392.5</v>
      </c>
      <c r="AC192" s="259">
        <f>IF(COUNTIF(AD$78:AD192,AD192)=1,MAX(AC$78:AC191)+1,"")</f>
        <v>16</v>
      </c>
      <c r="AD192" s="220">
        <f>'[2]Изложницы без бурта'!B192</f>
        <v>125</v>
      </c>
      <c r="AE192" s="220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587</v>
      </c>
      <c r="AM192" s="56">
        <f>'[2]Изложницы без бурта'!K192</f>
        <v>0</v>
      </c>
    </row>
    <row r="193" spans="1:39" x14ac:dyDescent="0.25">
      <c r="A193" s="334">
        <v>20</v>
      </c>
      <c r="B193" s="335">
        <v>5.5</v>
      </c>
      <c r="C193" s="334">
        <v>6.5</v>
      </c>
      <c r="D193" s="334">
        <v>7.5</v>
      </c>
      <c r="E193" s="334">
        <v>10</v>
      </c>
      <c r="F193" s="334">
        <v>11</v>
      </c>
      <c r="G193" s="334">
        <v>12.5</v>
      </c>
      <c r="H193" s="334">
        <v>15</v>
      </c>
      <c r="J193" s="56" t="b">
        <f>цб!$N$4&lt;=Данные!K193</f>
        <v>1</v>
      </c>
      <c r="K193" s="334">
        <v>1500</v>
      </c>
      <c r="L193" s="334">
        <v>20</v>
      </c>
      <c r="M193" s="334">
        <v>20</v>
      </c>
      <c r="N193" s="334">
        <v>25</v>
      </c>
      <c r="O193" s="334">
        <v>25</v>
      </c>
      <c r="P193" s="334">
        <v>25</v>
      </c>
      <c r="Q193" s="334">
        <v>25</v>
      </c>
      <c r="AB193" s="258">
        <f t="shared" si="4"/>
        <v>397.5</v>
      </c>
      <c r="AC193" s="259" t="str">
        <f>IF(COUNTIF(AD$78:AD193,AD193)=1,MAX(AC$78:AC192)+1,"")</f>
        <v/>
      </c>
      <c r="AD193" s="220">
        <f>'[2]Изложницы без бурта'!B193</f>
        <v>125</v>
      </c>
      <c r="AE193" s="220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587</v>
      </c>
      <c r="AM193" s="56">
        <f>'[2]Изложницы без бурта'!K193</f>
        <v>0</v>
      </c>
    </row>
    <row r="194" spans="1:39" ht="14.4" thickBot="1" x14ac:dyDescent="0.3">
      <c r="A194" s="334">
        <v>30</v>
      </c>
      <c r="B194" s="335">
        <v>7.5</v>
      </c>
      <c r="C194" s="335">
        <v>8.5</v>
      </c>
      <c r="D194" s="334">
        <v>9.5</v>
      </c>
      <c r="E194" s="334">
        <v>11.5</v>
      </c>
      <c r="F194" s="334">
        <v>12.5</v>
      </c>
      <c r="G194" s="334">
        <v>14</v>
      </c>
      <c r="H194" s="334">
        <v>14</v>
      </c>
      <c r="AB194" s="258">
        <f t="shared" si="4"/>
        <v>405</v>
      </c>
      <c r="AC194" s="259" t="str">
        <f>IF(COUNTIF(AD$78:AD194,AD194)=1,MAX(AC$78:AC193)+1,"")</f>
        <v/>
      </c>
      <c r="AD194" s="220">
        <f>'[2]Изложницы без бурта'!B194</f>
        <v>125</v>
      </c>
      <c r="AE194" s="220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587</v>
      </c>
      <c r="AM194" s="56">
        <f>'[2]Изложницы без бурта'!K194</f>
        <v>0</v>
      </c>
    </row>
    <row r="195" spans="1:39" x14ac:dyDescent="0.25">
      <c r="A195" s="336">
        <v>50</v>
      </c>
      <c r="B195" s="335">
        <v>7.5</v>
      </c>
      <c r="C195" s="335">
        <v>11</v>
      </c>
      <c r="D195" s="334">
        <v>13.5</v>
      </c>
      <c r="E195" s="334">
        <v>15</v>
      </c>
      <c r="F195" s="334">
        <v>16.5</v>
      </c>
      <c r="G195" s="334">
        <v>18</v>
      </c>
      <c r="H195" s="334">
        <v>18</v>
      </c>
      <c r="J195" s="316"/>
      <c r="K195" s="316"/>
      <c r="L195" s="316"/>
      <c r="M195" s="1331" t="s">
        <v>1209</v>
      </c>
      <c r="N195" s="1332"/>
      <c r="O195" s="1332"/>
      <c r="P195" s="1332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9"/>
      <c r="AB195" s="258">
        <f t="shared" si="4"/>
        <v>410</v>
      </c>
      <c r="AC195" s="259" t="str">
        <f>IF(COUNTIF(AD$78:AD195,AD195)=1,MAX(AC$78:AC194)+1,"")</f>
        <v/>
      </c>
      <c r="AD195" s="220">
        <f>'[2]Изложницы без бурта'!B195</f>
        <v>125</v>
      </c>
      <c r="AE195" s="220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587</v>
      </c>
      <c r="AM195" s="56">
        <f>'[2]Изложницы без бурта'!K195</f>
        <v>0</v>
      </c>
    </row>
    <row r="196" spans="1:39" ht="14.4" thickBot="1" x14ac:dyDescent="0.3">
      <c r="A196" s="336">
        <v>80</v>
      </c>
      <c r="B196" s="335">
        <v>7.5</v>
      </c>
      <c r="C196" s="334">
        <v>15</v>
      </c>
      <c r="D196" s="334">
        <v>14.5</v>
      </c>
      <c r="E196" s="334">
        <v>18</v>
      </c>
      <c r="F196" s="334">
        <v>19</v>
      </c>
      <c r="G196" s="334">
        <v>20.5</v>
      </c>
      <c r="H196" s="334">
        <v>20.5</v>
      </c>
      <c r="J196" s="316"/>
      <c r="K196" s="316"/>
      <c r="L196" s="316"/>
      <c r="M196" s="22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30"/>
      <c r="AB196" s="258">
        <f t="shared" si="4"/>
        <v>412.5</v>
      </c>
      <c r="AC196" s="259" t="str">
        <f>IF(COUNTIF(AD$78:AD196,AD196)=1,MAX(AC$78:AC195)+1,"")</f>
        <v/>
      </c>
      <c r="AD196" s="220">
        <f>'[2]Изложницы без бурта'!B196</f>
        <v>125</v>
      </c>
      <c r="AE196" s="220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587</v>
      </c>
      <c r="AM196" s="56">
        <f>'[2]Изложницы без бурта'!K196</f>
        <v>0</v>
      </c>
    </row>
    <row r="197" spans="1:39" ht="14.4" thickBot="1" x14ac:dyDescent="0.3">
      <c r="A197" s="336">
        <v>120</v>
      </c>
      <c r="B197" s="335">
        <v>7.5</v>
      </c>
      <c r="C197" s="334">
        <v>15</v>
      </c>
      <c r="D197" s="334">
        <v>16</v>
      </c>
      <c r="E197" s="334">
        <v>19.5</v>
      </c>
      <c r="F197" s="334">
        <v>20.5</v>
      </c>
      <c r="G197" s="334">
        <v>30</v>
      </c>
      <c r="H197" s="334">
        <v>30</v>
      </c>
      <c r="J197" s="316"/>
      <c r="K197" s="316"/>
      <c r="L197" s="316"/>
      <c r="M197" s="1327" t="s">
        <v>1210</v>
      </c>
      <c r="N197" s="1328">
        <f>Бандаж!P5</f>
        <v>210</v>
      </c>
      <c r="O197" s="1329" t="s">
        <v>313</v>
      </c>
      <c r="P197" s="1328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28" t="s">
        <v>254</v>
      </c>
      <c r="R197" s="1330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30"/>
      <c r="AB197" s="258">
        <f t="shared" si="4"/>
        <v>415</v>
      </c>
      <c r="AC197" s="259" t="str">
        <f>IF(COUNTIF(AD$78:AD197,AD197)=1,MAX(AC$78:AC196)+1,"")</f>
        <v/>
      </c>
      <c r="AD197" s="220">
        <f>'[2]Изложницы без бурта'!B197</f>
        <v>125</v>
      </c>
      <c r="AE197" s="220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587</v>
      </c>
      <c r="AM197" s="56">
        <f>'[2]Изложницы без бурта'!K197</f>
        <v>0</v>
      </c>
    </row>
    <row r="198" spans="1:39" x14ac:dyDescent="0.25">
      <c r="A198" s="336">
        <v>150</v>
      </c>
      <c r="B198" s="335">
        <v>7.5</v>
      </c>
      <c r="C198" s="334">
        <v>15</v>
      </c>
      <c r="D198" s="334">
        <v>16</v>
      </c>
      <c r="E198" s="334">
        <v>19.5</v>
      </c>
      <c r="F198" s="334">
        <v>20.5</v>
      </c>
      <c r="G198" s="336">
        <v>32.5</v>
      </c>
      <c r="H198" s="334">
        <v>32.5</v>
      </c>
      <c r="J198" s="316"/>
      <c r="K198" s="316"/>
      <c r="L198" s="316"/>
      <c r="M198" s="1439" t="s">
        <v>1211</v>
      </c>
      <c r="N198" s="1440">
        <f>ROUND(Кольцо!J18/0.985,0)</f>
        <v>106</v>
      </c>
      <c r="O198" s="1441" t="s">
        <v>313</v>
      </c>
      <c r="P198" s="144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40" t="s">
        <v>254</v>
      </c>
      <c r="R198" s="1442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30"/>
      <c r="AB198" s="258">
        <f t="shared" si="4"/>
        <v>417.5</v>
      </c>
      <c r="AC198" s="259" t="str">
        <f>IF(COUNTIF(AD$78:AD198,AD198)=1,MAX(AC$78:AC197)+1,"")</f>
        <v/>
      </c>
      <c r="AD198" s="220">
        <f>'[2]Изложницы без бурта'!B198</f>
        <v>125</v>
      </c>
      <c r="AE198" s="220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587</v>
      </c>
      <c r="AM198" s="56">
        <f>'[2]Изложницы без бурта'!K198</f>
        <v>0</v>
      </c>
    </row>
    <row r="199" spans="1:39" x14ac:dyDescent="0.25">
      <c r="A199" s="334">
        <v>200</v>
      </c>
      <c r="B199" s="335">
        <v>7.5</v>
      </c>
      <c r="C199" s="334">
        <v>15</v>
      </c>
      <c r="D199" s="334">
        <v>16</v>
      </c>
      <c r="E199" s="334">
        <v>19.5</v>
      </c>
      <c r="F199" s="334">
        <v>20.5</v>
      </c>
      <c r="G199" s="334">
        <v>32.5</v>
      </c>
      <c r="H199" s="334">
        <v>32.5</v>
      </c>
      <c r="J199" s="316"/>
      <c r="K199" s="316"/>
      <c r="L199" s="316"/>
      <c r="M199" s="1443" t="s">
        <v>1236</v>
      </c>
      <c r="N199" s="1444">
        <f>Болваны!G26</f>
        <v>433.4</v>
      </c>
      <c r="O199" s="301" t="s">
        <v>313</v>
      </c>
      <c r="P199" s="144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443" t="s">
        <v>254</v>
      </c>
      <c r="R199" s="1443">
        <f>VLOOKUP(P199,A137:F154,4,FALSE)</f>
        <v>3</v>
      </c>
      <c r="S199" s="138"/>
      <c r="T199" s="138"/>
      <c r="U199" s="138"/>
      <c r="V199" s="138"/>
      <c r="W199" s="138"/>
      <c r="X199" s="138"/>
      <c r="Y199" s="138"/>
      <c r="Z199" s="138"/>
      <c r="AA199" s="230"/>
      <c r="AB199" s="258">
        <f t="shared" si="4"/>
        <v>420</v>
      </c>
      <c r="AC199" s="259">
        <f>IF(COUNTIF(AD$78:AD199,AD199)=1,MAX(AC$78:AC198)+1,"")</f>
        <v>17</v>
      </c>
      <c r="AD199" s="220">
        <f>'[2]Изложницы без бурта'!B199</f>
        <v>127.5</v>
      </c>
      <c r="AE199" s="220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588</v>
      </c>
      <c r="AM199" s="56">
        <f>'[2]Изложницы без бурта'!K199</f>
        <v>0</v>
      </c>
    </row>
    <row r="200" spans="1:39" x14ac:dyDescent="0.25">
      <c r="M200" s="22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30"/>
      <c r="AB200" s="258">
        <f t="shared" si="4"/>
        <v>425</v>
      </c>
      <c r="AC200" s="259" t="str">
        <f>IF(COUNTIF(AD$78:AD200,AD200)=1,MAX(AC$78:AC199)+1,"")</f>
        <v/>
      </c>
      <c r="AD200" s="220">
        <f>'[2]Изложницы без бурта'!B200</f>
        <v>127.5</v>
      </c>
      <c r="AE200" s="220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588</v>
      </c>
      <c r="AM200" s="56">
        <f>'[2]Изложницы без бурта'!K200</f>
        <v>0</v>
      </c>
    </row>
    <row r="201" spans="1:39" x14ac:dyDescent="0.25">
      <c r="A201" s="338"/>
      <c r="B201" s="339"/>
      <c r="C201" s="338"/>
      <c r="M201" s="22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30"/>
      <c r="AB201" s="258">
        <f t="shared" si="4"/>
        <v>427.5</v>
      </c>
      <c r="AC201" s="259" t="str">
        <f>IF(COUNTIF(AD$78:AD201,AD201)=1,MAX(AC$78:AC200)+1,"")</f>
        <v/>
      </c>
      <c r="AD201" s="220">
        <f>'[2]Изложницы без бурта'!B201</f>
        <v>127.5</v>
      </c>
      <c r="AE201" s="220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588</v>
      </c>
      <c r="AM201" s="56">
        <f>'[2]Изложницы без бурта'!K201</f>
        <v>0</v>
      </c>
    </row>
    <row r="202" spans="1:39" ht="14.4" thickBot="1" x14ac:dyDescent="0.3">
      <c r="A202" s="338"/>
      <c r="B202" s="339"/>
      <c r="C202" s="338"/>
      <c r="M202" s="22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30"/>
      <c r="AB202" s="258">
        <f t="shared" si="3"/>
        <v>430</v>
      </c>
      <c r="AC202" s="259" t="str">
        <f>IF(COUNTIF(AD$78:AD202,AD202)=1,MAX(AC$78:AC201)+1,"")</f>
        <v/>
      </c>
      <c r="AD202" s="220">
        <f>'[2]Изложницы без бурта'!B202</f>
        <v>127.5</v>
      </c>
      <c r="AE202" s="220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588</v>
      </c>
      <c r="AM202" s="56">
        <f>'[2]Изложницы без бурта'!K202</f>
        <v>0</v>
      </c>
    </row>
    <row r="203" spans="1:39" ht="14.4" thickBot="1" x14ac:dyDescent="0.3">
      <c r="A203" s="948" t="s">
        <v>983</v>
      </c>
      <c r="B203" s="949"/>
      <c r="C203" s="948"/>
      <c r="D203" s="246" t="s">
        <v>396</v>
      </c>
      <c r="E203" s="332">
        <f>IF(AND(Втулка!N6&gt;=7.5,Втулка!N6&lt;=8.5),2,1)</f>
        <v>2</v>
      </c>
      <c r="F203" s="246" t="s">
        <v>988</v>
      </c>
      <c r="G203" s="56">
        <f>HLOOKUP(TRUE,A231:J233,2,FALSE)</f>
        <v>300</v>
      </c>
      <c r="H203" s="246" t="s">
        <v>403</v>
      </c>
      <c r="I203" s="56">
        <f>HLOOKUP(TRUE,A234:J236,3,FALSE)</f>
        <v>6</v>
      </c>
      <c r="J203" s="1014" t="s">
        <v>1057</v>
      </c>
      <c r="K203" s="1010" t="b">
        <v>0</v>
      </c>
      <c r="M203" s="1333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30"/>
      <c r="AB203" s="258">
        <f t="shared" si="3"/>
        <v>432.5</v>
      </c>
      <c r="AC203" s="259">
        <f>IF(COUNTIF(AD$78:AD203,AD203)=1,MAX(AC$78:AC202)+1,"")</f>
        <v>18</v>
      </c>
      <c r="AD203" s="220">
        <f>'[2]Изложницы без бурта'!B203</f>
        <v>130</v>
      </c>
      <c r="AE203" s="220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589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986</v>
      </c>
      <c r="B204" s="56">
        <f>Втулка!N16</f>
        <v>300</v>
      </c>
      <c r="C204" s="246" t="s">
        <v>989</v>
      </c>
      <c r="D204" s="56" t="str">
        <f>(IF(AND(Втулка!N6&gt;=7.5,Втулка!N6&lt;=8.5),VLOOKUP(G203,A220:K229,I203,0),VLOOKUP(G203,A208:K217,I203,0)))</f>
        <v>9 11 11</v>
      </c>
      <c r="E204" s="951" t="s">
        <v>990</v>
      </c>
      <c r="F204" s="952" t="s">
        <v>991</v>
      </c>
      <c r="G204" s="953" t="s">
        <v>992</v>
      </c>
      <c r="M204" s="22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30"/>
      <c r="AB204" s="258">
        <f t="shared" si="3"/>
        <v>440</v>
      </c>
      <c r="AC204" s="259" t="str">
        <f>IF(COUNTIF(AD$78:AD204,AD204)=1,MAX(AC$78:AC203)+1,"")</f>
        <v/>
      </c>
      <c r="AD204" s="220">
        <f>'[2]Изложницы без бурта'!B204</f>
        <v>130</v>
      </c>
      <c r="AE204" s="220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589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987</v>
      </c>
      <c r="B205" s="56">
        <f>IF(K203=TRUE,500,Втулка!N18)</f>
        <v>390</v>
      </c>
      <c r="E205" s="950" t="str">
        <f>LEFT(D204,SEARCH(" ",D204,1))</f>
        <v xml:space="preserve">9 </v>
      </c>
      <c r="F205" s="954" t="str">
        <f>LEFT(F206,SEARCH(" ",F206,2))</f>
        <v xml:space="preserve">11 </v>
      </c>
      <c r="G205" s="950" t="str">
        <f>RIGHT(F206,SEARCH(" ",D204,1))</f>
        <v>11</v>
      </c>
      <c r="J205" s="316"/>
      <c r="M205" s="22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30"/>
      <c r="AB205" s="258">
        <f t="shared" si="3"/>
        <v>442.5</v>
      </c>
      <c r="AC205" s="259" t="str">
        <f>IF(COUNTIF(AD$78:AD205,AD205)=1,MAX(AC$78:AC204)+1,"")</f>
        <v/>
      </c>
      <c r="AD205" s="220">
        <f>'[2]Изложницы без бурта'!B205</f>
        <v>130</v>
      </c>
      <c r="AE205" s="220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589</v>
      </c>
      <c r="AM205" s="56">
        <f>'[2]Изложницы без бурта'!K205</f>
        <v>0</v>
      </c>
    </row>
    <row r="206" spans="1:39" ht="14.4" thickBot="1" x14ac:dyDescent="0.3">
      <c r="A206" s="338" t="s">
        <v>984</v>
      </c>
      <c r="B206" s="340"/>
      <c r="C206" s="338"/>
      <c r="F206" s="955" t="str">
        <f>RIGHT(D204,LEN(D204)-SEARCH("",D204,2))</f>
        <v>11 11</v>
      </c>
      <c r="M206" s="22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30"/>
      <c r="AB206" s="258">
        <f t="shared" si="3"/>
        <v>445</v>
      </c>
      <c r="AC206" s="259" t="str">
        <f>IF(COUNTIF(AD$78:AD206,AD206)=1,MAX(AC$78:AC205)+1,"")</f>
        <v/>
      </c>
      <c r="AD206" s="220">
        <f>'[2]Изложницы без бурта'!B206</f>
        <v>130</v>
      </c>
      <c r="AE206" s="220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589</v>
      </c>
      <c r="AM206" s="56">
        <f>'[2]Изложницы без бурта'!K206</f>
        <v>0</v>
      </c>
    </row>
    <row r="207" spans="1:39" x14ac:dyDescent="0.25">
      <c r="A207" s="217"/>
      <c r="B207" s="956">
        <v>50</v>
      </c>
      <c r="C207" s="956">
        <v>100</v>
      </c>
      <c r="D207" s="218">
        <v>200</v>
      </c>
      <c r="E207" s="218">
        <v>300</v>
      </c>
      <c r="F207" s="218">
        <v>400</v>
      </c>
      <c r="G207" s="218">
        <v>600</v>
      </c>
      <c r="H207" s="218">
        <v>800</v>
      </c>
      <c r="I207" s="218">
        <v>1200</v>
      </c>
      <c r="J207" s="218">
        <v>1500</v>
      </c>
      <c r="K207" s="219">
        <v>2000</v>
      </c>
      <c r="M207" s="22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30"/>
      <c r="AB207" s="258">
        <f t="shared" si="3"/>
        <v>447.5</v>
      </c>
      <c r="AC207" s="259" t="str">
        <f>IF(COUNTIF(AD$78:AD207,AD207)=1,MAX(AC$78:AC206)+1,"")</f>
        <v/>
      </c>
      <c r="AD207" s="220">
        <f>'[2]Изложницы без бурта'!B207</f>
        <v>130</v>
      </c>
      <c r="AE207" s="220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589</v>
      </c>
      <c r="AM207" s="56">
        <f>'[2]Изложницы без бурта'!K207</f>
        <v>0</v>
      </c>
    </row>
    <row r="208" spans="1:39" x14ac:dyDescent="0.25">
      <c r="A208" s="957">
        <v>100</v>
      </c>
      <c r="B208" s="340" t="s">
        <v>994</v>
      </c>
      <c r="C208" s="340" t="s">
        <v>994</v>
      </c>
      <c r="D208" s="138" t="s">
        <v>1307</v>
      </c>
      <c r="E208" s="138"/>
      <c r="F208" s="138"/>
      <c r="G208" s="138"/>
      <c r="H208" s="138"/>
      <c r="I208" s="138"/>
      <c r="J208" s="138"/>
      <c r="K208" s="230"/>
      <c r="M208" s="22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30"/>
      <c r="AB208" s="258">
        <f t="shared" si="3"/>
        <v>457.5</v>
      </c>
      <c r="AC208" s="259" t="str">
        <f>IF(COUNTIF(AD$78:AD208,AD208)=1,MAX(AC$78:AC207)+1,"")</f>
        <v/>
      </c>
      <c r="AD208" s="220">
        <f>'[2]Изложницы без бурта'!B208</f>
        <v>130</v>
      </c>
      <c r="AE208" s="220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589</v>
      </c>
      <c r="AM208" s="56">
        <f>'[2]Изложницы без бурта'!K208</f>
        <v>0</v>
      </c>
    </row>
    <row r="209" spans="1:39" x14ac:dyDescent="0.25">
      <c r="A209" s="957">
        <v>200</v>
      </c>
      <c r="B209" s="340" t="s">
        <v>998</v>
      </c>
      <c r="C209" s="340" t="s">
        <v>998</v>
      </c>
      <c r="D209" s="138" t="s">
        <v>999</v>
      </c>
      <c r="E209" s="138"/>
      <c r="F209" s="138"/>
      <c r="G209" s="138"/>
      <c r="H209" s="138"/>
      <c r="I209" s="138"/>
      <c r="J209" s="138"/>
      <c r="K209" s="230"/>
      <c r="M209" s="22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30"/>
      <c r="AB209" s="258">
        <f t="shared" ref="AB209:AB217" si="7">IF(MAX(AC209:AC1286)&lt;ROW(131:131),"",VLOOKUP(ROW(131:131),AC209:AD1286,2))</f>
        <v>460</v>
      </c>
      <c r="AC209" s="259" t="str">
        <f>IF(COUNTIF(AD$78:AD209,AD209)=1,MAX(AC$78:AC208)+1,"")</f>
        <v/>
      </c>
      <c r="AD209" s="220">
        <f>'[2]Изложницы без бурта'!B209</f>
        <v>130</v>
      </c>
      <c r="AE209" s="220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589</v>
      </c>
      <c r="AM209" s="56">
        <f>'[2]Изложницы без бурта'!K209</f>
        <v>0</v>
      </c>
    </row>
    <row r="210" spans="1:39" x14ac:dyDescent="0.25">
      <c r="A210" s="957">
        <v>300</v>
      </c>
      <c r="B210" s="340" t="s">
        <v>998</v>
      </c>
      <c r="C210" s="340" t="s">
        <v>1000</v>
      </c>
      <c r="D210" s="138" t="s">
        <v>999</v>
      </c>
      <c r="E210" s="138" t="s">
        <v>1001</v>
      </c>
      <c r="F210" s="138" t="s">
        <v>1308</v>
      </c>
      <c r="G210" s="138"/>
      <c r="H210" s="138"/>
      <c r="I210" s="138"/>
      <c r="J210" s="138"/>
      <c r="K210" s="230"/>
      <c r="M210" s="22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30"/>
      <c r="AB210" s="258">
        <f t="shared" si="7"/>
        <v>475</v>
      </c>
      <c r="AC210" s="259" t="str">
        <f>IF(COUNTIF(AD$78:AD210,AD210)=1,MAX(AC$78:AC209)+1,"")</f>
        <v/>
      </c>
      <c r="AD210" s="220">
        <f>'[2]Изложницы без бурта'!B210</f>
        <v>130</v>
      </c>
      <c r="AE210" s="220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589</v>
      </c>
      <c r="AM210" s="56">
        <f>'[2]Изложницы без бурта'!K210</f>
        <v>0</v>
      </c>
    </row>
    <row r="211" spans="1:39" x14ac:dyDescent="0.25">
      <c r="A211" s="957">
        <v>400</v>
      </c>
      <c r="B211" s="340" t="s">
        <v>999</v>
      </c>
      <c r="C211" s="340" t="s">
        <v>999</v>
      </c>
      <c r="D211" s="138" t="s">
        <v>1002</v>
      </c>
      <c r="E211" s="138" t="s">
        <v>1003</v>
      </c>
      <c r="F211" s="138" t="s">
        <v>1006</v>
      </c>
      <c r="G211" s="138" t="s">
        <v>993</v>
      </c>
      <c r="H211" s="138"/>
      <c r="I211" s="138"/>
      <c r="J211" s="138"/>
      <c r="K211" s="230"/>
      <c r="M211" s="22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30"/>
      <c r="AB211" s="258">
        <f t="shared" si="7"/>
        <v>480</v>
      </c>
      <c r="AC211" s="259" t="str">
        <f>IF(COUNTIF(AD$78:AD211,AD211)=1,MAX(AC$78:AC210)+1,"")</f>
        <v/>
      </c>
      <c r="AD211" s="220">
        <f>'[2]Изложницы без бурта'!B211</f>
        <v>130</v>
      </c>
      <c r="AE211" s="220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589</v>
      </c>
      <c r="AM211" s="56">
        <f>'[2]Изложницы без бурта'!K211</f>
        <v>0</v>
      </c>
    </row>
    <row r="212" spans="1:39" x14ac:dyDescent="0.25">
      <c r="A212" s="957">
        <v>600</v>
      </c>
      <c r="B212" s="340" t="s">
        <v>1002</v>
      </c>
      <c r="C212" s="340" t="s">
        <v>1005</v>
      </c>
      <c r="D212" s="138" t="s">
        <v>1006</v>
      </c>
      <c r="E212" s="138" t="s">
        <v>1006</v>
      </c>
      <c r="F212" s="138" t="s">
        <v>1008</v>
      </c>
      <c r="G212" s="138" t="s">
        <v>993</v>
      </c>
      <c r="H212" s="138" t="s">
        <v>1009</v>
      </c>
      <c r="I212" s="138" t="s">
        <v>997</v>
      </c>
      <c r="J212" s="138"/>
      <c r="K212" s="230"/>
      <c r="M212" s="22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30"/>
      <c r="AB212" s="258">
        <f t="shared" si="7"/>
        <v>482.5</v>
      </c>
      <c r="AC212" s="259" t="str">
        <f>IF(COUNTIF(AD$78:AD212,AD212)=1,MAX(AC$78:AC211)+1,"")</f>
        <v/>
      </c>
      <c r="AD212" s="220">
        <f>'[2]Изложницы без бурта'!B212</f>
        <v>130</v>
      </c>
      <c r="AE212" s="220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589</v>
      </c>
      <c r="AM212" s="56">
        <f>'[2]Изложницы без бурта'!K212</f>
        <v>0</v>
      </c>
    </row>
    <row r="213" spans="1:39" x14ac:dyDescent="0.25">
      <c r="A213" s="957">
        <v>800</v>
      </c>
      <c r="B213" s="340" t="s">
        <v>1002</v>
      </c>
      <c r="C213" s="340" t="s">
        <v>1005</v>
      </c>
      <c r="D213" s="138" t="s">
        <v>1006</v>
      </c>
      <c r="E213" s="138" t="s">
        <v>1008</v>
      </c>
      <c r="F213" s="138" t="s">
        <v>993</v>
      </c>
      <c r="G213" s="138" t="s">
        <v>1013</v>
      </c>
      <c r="H213" s="138" t="s">
        <v>1009</v>
      </c>
      <c r="I213" s="138" t="s">
        <v>997</v>
      </c>
      <c r="J213" s="1004" t="s">
        <v>1012</v>
      </c>
      <c r="K213" s="230"/>
      <c r="M213" s="22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30"/>
      <c r="AB213" s="258">
        <f t="shared" si="7"/>
        <v>495</v>
      </c>
      <c r="AC213" s="259" t="str">
        <f>IF(COUNTIF(AD$78:AD213,AD213)=1,MAX(AC$78:AC212)+1,"")</f>
        <v/>
      </c>
      <c r="AD213" s="220">
        <f>'[2]Изложницы без бурта'!B213</f>
        <v>130</v>
      </c>
      <c r="AE213" s="220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589</v>
      </c>
      <c r="AM213" s="56">
        <f>'[2]Изложницы без бурта'!K213</f>
        <v>0</v>
      </c>
    </row>
    <row r="214" spans="1:39" x14ac:dyDescent="0.25">
      <c r="A214" s="957">
        <v>1000</v>
      </c>
      <c r="B214" s="340" t="s">
        <v>1004</v>
      </c>
      <c r="C214" s="340" t="s">
        <v>993</v>
      </c>
      <c r="D214" s="138" t="s">
        <v>1007</v>
      </c>
      <c r="E214" s="138" t="s">
        <v>1009</v>
      </c>
      <c r="F214" s="138" t="s">
        <v>1009</v>
      </c>
      <c r="G214" s="138" t="s">
        <v>995</v>
      </c>
      <c r="H214" s="138" t="s">
        <v>995</v>
      </c>
      <c r="I214" s="138" t="s">
        <v>997</v>
      </c>
      <c r="J214" s="1004" t="s">
        <v>1012</v>
      </c>
      <c r="K214" s="230"/>
      <c r="M214" s="22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30"/>
      <c r="AB214" s="258">
        <f t="shared" si="7"/>
        <v>500</v>
      </c>
      <c r="AC214" s="259" t="str">
        <f>IF(COUNTIF(AD$78:AD214,AD214)=1,MAX(AC$78:AC213)+1,"")</f>
        <v/>
      </c>
      <c r="AD214" s="220">
        <f>'[2]Изложницы без бурта'!B214</f>
        <v>130</v>
      </c>
      <c r="AE214" s="220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589</v>
      </c>
      <c r="AM214" s="56">
        <f>'[2]Изложницы без бурта'!K214</f>
        <v>0</v>
      </c>
    </row>
    <row r="215" spans="1:39" x14ac:dyDescent="0.25">
      <c r="A215" s="957">
        <v>1500</v>
      </c>
      <c r="B215" s="340" t="s">
        <v>995</v>
      </c>
      <c r="C215" s="340" t="s">
        <v>995</v>
      </c>
      <c r="D215" s="138" t="s">
        <v>997</v>
      </c>
      <c r="E215" s="138" t="s">
        <v>1010</v>
      </c>
      <c r="F215" s="138" t="s">
        <v>1010</v>
      </c>
      <c r="G215" s="138" t="s">
        <v>1011</v>
      </c>
      <c r="H215" s="138" t="s">
        <v>1011</v>
      </c>
      <c r="I215" s="138" t="s">
        <v>1012</v>
      </c>
      <c r="J215" s="138" t="s">
        <v>1054</v>
      </c>
      <c r="K215" s="230" t="s">
        <v>1049</v>
      </c>
      <c r="M215" s="22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30"/>
      <c r="AB215" s="258">
        <f t="shared" si="7"/>
        <v>502.5</v>
      </c>
      <c r="AC215" s="259">
        <f>IF(COUNTIF(AD$78:AD215,AD215)=1,MAX(AC$78:AC214)+1,"")</f>
        <v>19</v>
      </c>
      <c r="AD215" s="220">
        <f>'[2]Изложницы без бурта'!B215</f>
        <v>132.5</v>
      </c>
      <c r="AE215" s="220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590</v>
      </c>
      <c r="AM215" s="56">
        <f>'[2]Изложницы без бурта'!K215</f>
        <v>0</v>
      </c>
    </row>
    <row r="216" spans="1:39" x14ac:dyDescent="0.25">
      <c r="A216" s="957">
        <v>2000</v>
      </c>
      <c r="B216" s="340" t="s">
        <v>995</v>
      </c>
      <c r="C216" s="340" t="s">
        <v>995</v>
      </c>
      <c r="D216" s="138" t="s">
        <v>997</v>
      </c>
      <c r="E216" s="138" t="s">
        <v>1011</v>
      </c>
      <c r="F216" s="138" t="s">
        <v>1012</v>
      </c>
      <c r="G216" s="138" t="s">
        <v>996</v>
      </c>
      <c r="H216" s="138" t="s">
        <v>996</v>
      </c>
      <c r="I216" s="138" t="s">
        <v>1014</v>
      </c>
      <c r="J216" s="138" t="s">
        <v>1055</v>
      </c>
      <c r="K216" s="230" t="s">
        <v>1049</v>
      </c>
      <c r="M216" s="22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30"/>
      <c r="AB216" s="258">
        <f t="shared" si="7"/>
        <v>505</v>
      </c>
      <c r="AC216" s="259" t="str">
        <f>IF(COUNTIF(AD$78:AD216,AD216)=1,MAX(AC$78:AC215)+1,"")</f>
        <v/>
      </c>
      <c r="AD216" s="220">
        <f>'[2]Изложницы без бурта'!B216</f>
        <v>132.5</v>
      </c>
      <c r="AE216" s="220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590</v>
      </c>
      <c r="AM216" s="56">
        <f>'[2]Изложницы без бурта'!K216</f>
        <v>0</v>
      </c>
    </row>
    <row r="217" spans="1:39" ht="14.4" thickBot="1" x14ac:dyDescent="0.3">
      <c r="A217" s="958">
        <v>2500</v>
      </c>
      <c r="B217" s="312" t="s">
        <v>1012</v>
      </c>
      <c r="C217" s="312" t="s">
        <v>996</v>
      </c>
      <c r="D217" s="312" t="s">
        <v>996</v>
      </c>
      <c r="E217" s="312" t="s">
        <v>1014</v>
      </c>
      <c r="F217" s="312" t="s">
        <v>1022</v>
      </c>
      <c r="G217" s="312" t="s">
        <v>1048</v>
      </c>
      <c r="H217" s="312" t="s">
        <v>1048</v>
      </c>
      <c r="I217" s="312" t="s">
        <v>1048</v>
      </c>
      <c r="J217" s="312" t="s">
        <v>1049</v>
      </c>
      <c r="K217" s="314" t="s">
        <v>1049</v>
      </c>
      <c r="M217" s="22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30"/>
      <c r="AB217" s="258">
        <f t="shared" si="7"/>
        <v>507.5</v>
      </c>
      <c r="AC217" s="259" t="str">
        <f>IF(COUNTIF(AD$78:AD217,AD217)=1,MAX(AC$78:AC216)+1,"")</f>
        <v/>
      </c>
      <c r="AD217" s="220">
        <f>'[2]Изложницы без бурта'!B217</f>
        <v>132.5</v>
      </c>
      <c r="AE217" s="220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590</v>
      </c>
      <c r="AM217" s="56">
        <f>'[2]Изложницы без бурта'!K217</f>
        <v>0</v>
      </c>
    </row>
    <row r="218" spans="1:39" ht="14.4" thickBot="1" x14ac:dyDescent="0.3">
      <c r="A218" s="338" t="s">
        <v>985</v>
      </c>
      <c r="B218" s="340"/>
      <c r="C218" s="338"/>
      <c r="M218" s="22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30"/>
      <c r="AB218" s="258">
        <f t="shared" ref="AB218" si="8">IF(MAX(AC218:AC1295)&lt;ROW(140:140),"",VLOOKUP(ROW(140:140),AC218:AD1295,2))</f>
        <v>510</v>
      </c>
      <c r="AC218" s="259" t="str">
        <f>IF(COUNTIF(AD$78:AD218,AD218)=1,MAX(AC$78:AC217)+1,"")</f>
        <v/>
      </c>
      <c r="AD218" s="220">
        <f>'[2]Изложницы без бурта'!B218</f>
        <v>132.5</v>
      </c>
      <c r="AE218" s="220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590</v>
      </c>
      <c r="AM218" s="56">
        <f>'[2]Изложницы без бурта'!K218</f>
        <v>0</v>
      </c>
    </row>
    <row r="219" spans="1:39" x14ac:dyDescent="0.25">
      <c r="A219" s="217"/>
      <c r="B219" s="956">
        <v>50</v>
      </c>
      <c r="C219" s="956">
        <v>100</v>
      </c>
      <c r="D219" s="218">
        <v>200</v>
      </c>
      <c r="E219" s="218">
        <v>300</v>
      </c>
      <c r="F219" s="218">
        <v>400</v>
      </c>
      <c r="G219" s="218">
        <v>600</v>
      </c>
      <c r="H219" s="218">
        <v>800</v>
      </c>
      <c r="I219" s="218">
        <v>1200</v>
      </c>
      <c r="J219" s="218">
        <v>1500</v>
      </c>
      <c r="K219" s="219">
        <v>2000</v>
      </c>
      <c r="M219" s="22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30"/>
      <c r="AB219" s="258">
        <f t="shared" ref="AB219:AB232" si="9">IF(MAX(AC219:AC1296)&lt;ROW(141:141),"",VLOOKUP(ROW(141:141),AC219:AD1296,2))</f>
        <v>515</v>
      </c>
      <c r="AC219" s="259">
        <f>IF(COUNTIF(AD$78:AD219,AD219)=1,MAX(AC$78:AC218)+1,"")</f>
        <v>20</v>
      </c>
      <c r="AD219" s="220">
        <f>'[2]Изложницы без бурта'!B219</f>
        <v>135</v>
      </c>
      <c r="AE219" s="220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591</v>
      </c>
      <c r="AM219" s="56">
        <f>'[2]Изложницы без бурта'!K219</f>
        <v>0</v>
      </c>
    </row>
    <row r="220" spans="1:39" x14ac:dyDescent="0.25">
      <c r="A220" s="957">
        <v>100</v>
      </c>
      <c r="B220" s="340" t="s">
        <v>999</v>
      </c>
      <c r="C220" s="340" t="s">
        <v>1002</v>
      </c>
      <c r="D220" s="138" t="s">
        <v>1006</v>
      </c>
      <c r="E220" s="138"/>
      <c r="F220" s="138"/>
      <c r="G220" s="138"/>
      <c r="H220" s="138"/>
      <c r="I220" s="138"/>
      <c r="J220" s="138"/>
      <c r="K220" s="230"/>
      <c r="M220" s="22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30"/>
      <c r="AB220" s="258">
        <f t="shared" si="9"/>
        <v>517.5</v>
      </c>
      <c r="AC220" s="259" t="str">
        <f>IF(COUNTIF(AD$78:AD220,AD220)=1,MAX(AC$78:AC219)+1,"")</f>
        <v/>
      </c>
      <c r="AD220" s="220">
        <f>'[2]Изложницы без бурта'!B220</f>
        <v>135</v>
      </c>
      <c r="AE220" s="220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591</v>
      </c>
      <c r="AM220" s="56">
        <f>'[2]Изложницы без бурта'!K220</f>
        <v>0</v>
      </c>
    </row>
    <row r="221" spans="1:39" x14ac:dyDescent="0.25">
      <c r="A221" s="957">
        <v>200</v>
      </c>
      <c r="B221" s="340" t="s">
        <v>999</v>
      </c>
      <c r="C221" s="340" t="s">
        <v>1002</v>
      </c>
      <c r="D221" s="138" t="s">
        <v>1005</v>
      </c>
      <c r="E221" s="138" t="s">
        <v>1009</v>
      </c>
      <c r="F221" s="138"/>
      <c r="G221" s="138"/>
      <c r="H221" s="138"/>
      <c r="I221" s="138"/>
      <c r="J221" s="138"/>
      <c r="K221" s="230"/>
      <c r="M221" s="22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30"/>
      <c r="AB221" s="258">
        <f t="shared" si="9"/>
        <v>520</v>
      </c>
      <c r="AC221" s="259" t="str">
        <f>IF(COUNTIF(AD$78:AD221,AD221)=1,MAX(AC$78:AC220)+1,"")</f>
        <v/>
      </c>
      <c r="AD221" s="220">
        <f>'[2]Изложницы без бурта'!B221</f>
        <v>135</v>
      </c>
      <c r="AE221" s="220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591</v>
      </c>
      <c r="AM221" s="56">
        <f>'[2]Изложницы без бурта'!K221</f>
        <v>0</v>
      </c>
    </row>
    <row r="222" spans="1:39" x14ac:dyDescent="0.25">
      <c r="A222" s="957">
        <v>300</v>
      </c>
      <c r="B222" s="340" t="s">
        <v>1015</v>
      </c>
      <c r="C222" s="340" t="s">
        <v>1001</v>
      </c>
      <c r="D222" s="138" t="s">
        <v>1006</v>
      </c>
      <c r="E222" s="138" t="s">
        <v>993</v>
      </c>
      <c r="F222" s="138" t="s">
        <v>1010</v>
      </c>
      <c r="G222" s="138"/>
      <c r="H222" s="138"/>
      <c r="I222" s="138"/>
      <c r="J222" s="138"/>
      <c r="K222" s="230"/>
      <c r="M222" s="22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30"/>
      <c r="AB222" s="258">
        <f t="shared" si="9"/>
        <v>522.5</v>
      </c>
      <c r="AC222" s="259" t="str">
        <f>IF(COUNTIF(AD$78:AD222,AD222)=1,MAX(AC$78:AC221)+1,"")</f>
        <v/>
      </c>
      <c r="AD222" s="220">
        <f>'[2]Изложницы без бурта'!B222</f>
        <v>135</v>
      </c>
      <c r="AE222" s="220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591</v>
      </c>
      <c r="AM222" s="56">
        <f>'[2]Изложницы без бурта'!K222</f>
        <v>0</v>
      </c>
    </row>
    <row r="223" spans="1:39" x14ac:dyDescent="0.25">
      <c r="A223" s="957">
        <v>400</v>
      </c>
      <c r="B223" s="340" t="s">
        <v>1006</v>
      </c>
      <c r="C223" s="340" t="s">
        <v>993</v>
      </c>
      <c r="D223" s="138" t="s">
        <v>1013</v>
      </c>
      <c r="E223" s="138" t="s">
        <v>1020</v>
      </c>
      <c r="F223" s="138" t="s">
        <v>1023</v>
      </c>
      <c r="G223" s="138" t="s">
        <v>1056</v>
      </c>
      <c r="H223" s="138"/>
      <c r="I223" s="138"/>
      <c r="J223" s="138"/>
      <c r="K223" s="230"/>
      <c r="M223" s="22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30"/>
      <c r="AB223" s="258">
        <f t="shared" si="9"/>
        <v>525</v>
      </c>
      <c r="AC223" s="259" t="str">
        <f>IF(COUNTIF(AD$78:AD223,AD223)=1,MAX(AC$78:AC222)+1,"")</f>
        <v/>
      </c>
      <c r="AD223" s="220">
        <f>'[2]Изложницы без бурта'!B223</f>
        <v>135</v>
      </c>
      <c r="AE223" s="220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591</v>
      </c>
      <c r="AM223" s="56">
        <f>'[2]Изложницы без бурта'!K223</f>
        <v>0</v>
      </c>
    </row>
    <row r="224" spans="1:39" x14ac:dyDescent="0.25">
      <c r="A224" s="957">
        <v>600</v>
      </c>
      <c r="B224" s="340" t="s">
        <v>1009</v>
      </c>
      <c r="C224" s="340" t="s">
        <v>1009</v>
      </c>
      <c r="D224" s="138" t="s">
        <v>1020</v>
      </c>
      <c r="E224" s="138" t="s">
        <v>1020</v>
      </c>
      <c r="F224" s="138" t="s">
        <v>1023</v>
      </c>
      <c r="G224" s="138" t="s">
        <v>1018</v>
      </c>
      <c r="H224" s="138" t="s">
        <v>1022</v>
      </c>
      <c r="I224" s="138"/>
      <c r="J224" s="138" t="s">
        <v>1302</v>
      </c>
      <c r="K224" s="230"/>
      <c r="M224" s="22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30"/>
      <c r="AB224" s="258">
        <f t="shared" si="9"/>
        <v>527.5</v>
      </c>
      <c r="AC224" s="259" t="str">
        <f>IF(COUNTIF(AD$78:AD224,AD224)=1,MAX(AC$78:AC223)+1,"")</f>
        <v/>
      </c>
      <c r="AD224" s="220">
        <f>'[2]Изложницы без бурта'!B224</f>
        <v>135</v>
      </c>
      <c r="AE224" s="220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591</v>
      </c>
      <c r="AM224" s="56">
        <f>'[2]Изложницы без бурта'!K224</f>
        <v>0</v>
      </c>
    </row>
    <row r="225" spans="1:39" x14ac:dyDescent="0.25">
      <c r="A225" s="957">
        <v>800</v>
      </c>
      <c r="B225" s="340" t="s">
        <v>995</v>
      </c>
      <c r="C225" s="340" t="s">
        <v>997</v>
      </c>
      <c r="D225" s="138" t="s">
        <v>997</v>
      </c>
      <c r="E225" s="138" t="s">
        <v>1018</v>
      </c>
      <c r="F225" s="138" t="s">
        <v>1024</v>
      </c>
      <c r="G225" s="138" t="s">
        <v>1011</v>
      </c>
      <c r="H225" s="138" t="s">
        <v>1012</v>
      </c>
      <c r="I225" s="138" t="s">
        <v>1022</v>
      </c>
      <c r="J225" s="138" t="s">
        <v>1301</v>
      </c>
      <c r="K225" s="230"/>
      <c r="M225" s="22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30"/>
      <c r="AB225" s="258">
        <f t="shared" si="9"/>
        <v>530</v>
      </c>
      <c r="AC225" s="259" t="str">
        <f>IF(COUNTIF(AD$78:AD225,AD225)=1,MAX(AC$78:AC224)+1,"")</f>
        <v/>
      </c>
      <c r="AD225" s="220">
        <f>'[2]Изложницы без бурта'!B225</f>
        <v>135</v>
      </c>
      <c r="AE225" s="220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591</v>
      </c>
      <c r="AM225" s="56">
        <f>'[2]Изложницы без бурта'!K225</f>
        <v>0</v>
      </c>
    </row>
    <row r="226" spans="1:39" x14ac:dyDescent="0.25">
      <c r="A226" s="957">
        <v>1000</v>
      </c>
      <c r="B226" s="340" t="s">
        <v>997</v>
      </c>
      <c r="C226" s="340" t="s">
        <v>1018</v>
      </c>
      <c r="D226" s="138" t="s">
        <v>1018</v>
      </c>
      <c r="E226" s="138" t="s">
        <v>1011</v>
      </c>
      <c r="F226" s="138" t="s">
        <v>1025</v>
      </c>
      <c r="G226" s="138" t="s">
        <v>1025</v>
      </c>
      <c r="H226" s="138" t="s">
        <v>1017</v>
      </c>
      <c r="I226" s="138" t="s">
        <v>1019</v>
      </c>
      <c r="J226" s="138" t="s">
        <v>1047</v>
      </c>
      <c r="K226" s="230"/>
      <c r="M226" s="22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30"/>
      <c r="AB226" s="258">
        <f t="shared" si="9"/>
        <v>532.5</v>
      </c>
      <c r="AC226" s="259" t="str">
        <f>IF(COUNTIF(AD$78:AD226,AD226)=1,MAX(AC$78:AC225)+1,"")</f>
        <v/>
      </c>
      <c r="AD226" s="220">
        <f>'[2]Изложницы без бурта'!B226</f>
        <v>135</v>
      </c>
      <c r="AE226" s="220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591</v>
      </c>
      <c r="AM226" s="56">
        <f>'[2]Изложницы без бурта'!K226</f>
        <v>0</v>
      </c>
    </row>
    <row r="227" spans="1:39" x14ac:dyDescent="0.25">
      <c r="A227" s="957">
        <v>1500</v>
      </c>
      <c r="B227" s="340" t="s">
        <v>1016</v>
      </c>
      <c r="C227" s="340" t="s">
        <v>1017</v>
      </c>
      <c r="D227" s="138" t="s">
        <v>1017</v>
      </c>
      <c r="E227" s="138" t="s">
        <v>1019</v>
      </c>
      <c r="F227" s="138" t="s">
        <v>1021</v>
      </c>
      <c r="G227" s="138" t="s">
        <v>1021</v>
      </c>
      <c r="H227" s="138" t="s">
        <v>1022</v>
      </c>
      <c r="I227" s="138" t="s">
        <v>1022</v>
      </c>
      <c r="J227" s="138" t="s">
        <v>1047</v>
      </c>
      <c r="K227" s="230" t="s">
        <v>1047</v>
      </c>
      <c r="M227" s="22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30"/>
      <c r="AB227" s="258">
        <f t="shared" si="9"/>
        <v>535</v>
      </c>
      <c r="AC227" s="259">
        <f>IF(COUNTIF(AD$78:AD227,AD227)=1,MAX(AC$78:AC226)+1,"")</f>
        <v>21</v>
      </c>
      <c r="AD227" s="220">
        <f>'[2]Изложницы без бурта'!B227</f>
        <v>137.5</v>
      </c>
      <c r="AE227" s="220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592</v>
      </c>
      <c r="AM227" s="56">
        <f>'[2]Изложницы без бурта'!K227</f>
        <v>0</v>
      </c>
    </row>
    <row r="228" spans="1:39" x14ac:dyDescent="0.25">
      <c r="A228" s="957">
        <v>2000</v>
      </c>
      <c r="B228" s="340" t="s">
        <v>1017</v>
      </c>
      <c r="C228" s="340" t="s">
        <v>1019</v>
      </c>
      <c r="D228" s="138" t="s">
        <v>1021</v>
      </c>
      <c r="E228" s="138" t="s">
        <v>1022</v>
      </c>
      <c r="F228" s="138" t="s">
        <v>1022</v>
      </c>
      <c r="G228" s="138" t="s">
        <v>1026</v>
      </c>
      <c r="H228" s="138" t="s">
        <v>1027</v>
      </c>
      <c r="I228" s="138" t="s">
        <v>1027</v>
      </c>
      <c r="J228" s="138" t="s">
        <v>1047</v>
      </c>
      <c r="K228" s="230" t="s">
        <v>1047</v>
      </c>
      <c r="M228" s="22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30"/>
      <c r="AB228" s="258">
        <f t="shared" si="9"/>
        <v>537.5</v>
      </c>
      <c r="AC228" s="259">
        <f>IF(COUNTIF(AD$78:AD228,AD228)=1,MAX(AC$78:AC227)+1,"")</f>
        <v>22</v>
      </c>
      <c r="AD228" s="220">
        <f>'[2]Изложницы без бурта'!B228</f>
        <v>140</v>
      </c>
      <c r="AE228" s="220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593</v>
      </c>
      <c r="AM228" s="56">
        <f>'[2]Изложницы без бурта'!K228</f>
        <v>0</v>
      </c>
    </row>
    <row r="229" spans="1:39" ht="14.4" thickBot="1" x14ac:dyDescent="0.3">
      <c r="A229" s="311">
        <v>2500</v>
      </c>
      <c r="B229" s="312" t="s">
        <v>1021</v>
      </c>
      <c r="C229" s="312" t="s">
        <v>1022</v>
      </c>
      <c r="D229" s="312" t="s">
        <v>1022</v>
      </c>
      <c r="E229" s="312" t="s">
        <v>1026</v>
      </c>
      <c r="F229" s="312" t="s">
        <v>1027</v>
      </c>
      <c r="G229" s="312" t="s">
        <v>1027</v>
      </c>
      <c r="H229" s="312" t="s">
        <v>1046</v>
      </c>
      <c r="I229" s="312" t="s">
        <v>1046</v>
      </c>
      <c r="J229" s="312" t="s">
        <v>1047</v>
      </c>
      <c r="K229" s="314" t="s">
        <v>1047</v>
      </c>
      <c r="M229" s="311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4"/>
      <c r="AB229" s="258">
        <f t="shared" si="9"/>
        <v>545</v>
      </c>
      <c r="AC229" s="259" t="str">
        <f>IF(COUNTIF(AD$78:AD229,AD229)=1,MAX(AC$78:AC228)+1,"")</f>
        <v/>
      </c>
      <c r="AD229" s="220">
        <f>'[2]Изложницы без бурта'!B229</f>
        <v>140</v>
      </c>
      <c r="AE229" s="220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593</v>
      </c>
      <c r="AM229" s="56">
        <f>'[2]Изложницы без бурта'!K229</f>
        <v>0</v>
      </c>
    </row>
    <row r="230" spans="1:39" x14ac:dyDescent="0.25">
      <c r="AB230" s="258">
        <f t="shared" si="9"/>
        <v>547.5</v>
      </c>
      <c r="AC230" s="259" t="str">
        <f>IF(COUNTIF(AD$78:AD230,AD230)=1,MAX(AC$78:AC229)+1,"")</f>
        <v/>
      </c>
      <c r="AD230" s="220">
        <f>'[2]Изложницы без бурта'!B230</f>
        <v>140</v>
      </c>
      <c r="AE230" s="220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593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0</v>
      </c>
      <c r="C231" s="56" t="b">
        <f>$B204&lt;=A210</f>
        <v>1</v>
      </c>
      <c r="D231" s="56" t="b">
        <f>$B204&lt;=A211</f>
        <v>1</v>
      </c>
      <c r="E231" s="56" t="b">
        <f>$B204&lt;=A212</f>
        <v>1</v>
      </c>
      <c r="F231" s="56" t="b">
        <f>$B204&lt;=A213</f>
        <v>1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8">
        <f t="shared" si="9"/>
        <v>555</v>
      </c>
      <c r="AC231" s="259" t="str">
        <f>IF(COUNTIF(AD$78:AD231,AD231)=1,MAX(AC$78:AC230)+1,"")</f>
        <v/>
      </c>
      <c r="AD231" s="220">
        <f>'[2]Изложницы без бурта'!B231</f>
        <v>140</v>
      </c>
      <c r="AE231" s="220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593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46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647"/>
      <c r="N232" s="641"/>
      <c r="O232" s="641"/>
      <c r="P232" s="1500" t="s">
        <v>1295</v>
      </c>
      <c r="Q232" s="1501"/>
      <c r="R232" s="1755"/>
      <c r="S232" s="641"/>
      <c r="T232" s="641"/>
      <c r="U232" s="648"/>
      <c r="AB232" s="258">
        <f t="shared" si="9"/>
        <v>560</v>
      </c>
      <c r="AC232" s="259" t="str">
        <f>IF(COUNTIF(AD$78:AD232,AD232)=1,MAX(AC$78:AC231)+1,"")</f>
        <v/>
      </c>
      <c r="AD232" s="220">
        <f>'[2]Изложницы без бурта'!B232</f>
        <v>140</v>
      </c>
      <c r="AE232" s="220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593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46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40" t="b">
        <f>$N$247&lt;=N233</f>
        <v>1</v>
      </c>
      <c r="N233" s="457">
        <f>IF(MAX(O234:O244)&lt;ROW(Втулка!1:1),"",VLOOKUP(ROW(Втулка!1:1),O233:P243,2))</f>
        <v>700</v>
      </c>
      <c r="O233" s="457">
        <f>IF(COUNTIF(P$232:P233,P233)=1,MAX(O$232:O232)+1,"")</f>
        <v>1</v>
      </c>
      <c r="P233" s="457">
        <v>700</v>
      </c>
      <c r="Q233" s="457">
        <v>700</v>
      </c>
      <c r="R233" s="138">
        <v>200</v>
      </c>
      <c r="S233" s="457">
        <v>200</v>
      </c>
      <c r="T233" s="457">
        <v>350</v>
      </c>
      <c r="U233" s="644">
        <v>150</v>
      </c>
      <c r="AB233" s="258">
        <f t="shared" ref="AB233:AB278" si="10">IF(MAX(AC233:AC1310)&lt;ROW(155:155),"",VLOOKUP(ROW(155:155),AC233:AD1310,2))</f>
        <v>565</v>
      </c>
      <c r="AC233" s="259" t="str">
        <f>IF(COUNTIF(AD$78:AD233,AD233)=1,MAX(AC$78:AC232)+1,"")</f>
        <v/>
      </c>
      <c r="AD233" s="220">
        <f>'[2]Изложницы без бурта'!B233</f>
        <v>140</v>
      </c>
      <c r="AE233" s="220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593</v>
      </c>
      <c r="AM233" s="56">
        <f>'[2]Изложницы без бурта'!K233</f>
        <v>0</v>
      </c>
    </row>
    <row r="234" spans="1:39" ht="15.6" x14ac:dyDescent="0.3">
      <c r="A234" s="56" t="b">
        <f t="shared" ref="A234:H234" si="11">$B205&lt;=B207</f>
        <v>0</v>
      </c>
      <c r="B234" s="56" t="b">
        <f t="shared" si="11"/>
        <v>0</v>
      </c>
      <c r="C234" s="56" t="b">
        <f>$B205&lt;=D207</f>
        <v>0</v>
      </c>
      <c r="D234" s="56" t="b">
        <f t="shared" si="11"/>
        <v>0</v>
      </c>
      <c r="E234" s="56" t="b">
        <f t="shared" si="11"/>
        <v>1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M234" s="640" t="b">
        <f>$N$247&lt;=N234</f>
        <v>1</v>
      </c>
      <c r="N234" s="457">
        <f>IF(MAX(O234:O244)&lt;ROW(Втулка!2:2),"",VLOOKUP(ROW(Втулка!2:2),O234:P244,2))</f>
        <v>1000</v>
      </c>
      <c r="O234" s="457">
        <f>IF(COUNTIF(P$232:P234,P234)=1,MAX(O$232:O233)+1,"")</f>
        <v>2</v>
      </c>
      <c r="P234" s="457">
        <v>1000</v>
      </c>
      <c r="Q234" s="457">
        <v>1000</v>
      </c>
      <c r="R234" s="138">
        <v>200</v>
      </c>
      <c r="S234" s="457">
        <v>200</v>
      </c>
      <c r="T234" s="457">
        <v>350</v>
      </c>
      <c r="U234" s="644"/>
      <c r="AB234" s="258">
        <f t="shared" si="10"/>
        <v>572.5</v>
      </c>
      <c r="AC234" s="259" t="str">
        <f>IF(COUNTIF(AD$78:AD234,AD234)=1,MAX(AC$78:AC233)+1,"")</f>
        <v/>
      </c>
      <c r="AD234" s="220">
        <f>'[2]Изложницы без бурта'!B234</f>
        <v>140</v>
      </c>
      <c r="AE234" s="220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593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46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40" t="b">
        <f>$N$247&lt;=N235</f>
        <v>1</v>
      </c>
      <c r="N235" s="457">
        <f>IF(MAX(O234:O244)&lt;ROW(Втулка!3:3),"",VLOOKUP(ROW(Втулка!3:3),O234:P244,2))</f>
        <v>1150</v>
      </c>
      <c r="O235" s="457">
        <f>IF(COUNTIF(P$232:P235,P235)=1,MAX(O$232:O234)+1,"")</f>
        <v>3</v>
      </c>
      <c r="P235" s="457">
        <v>1150</v>
      </c>
      <c r="Q235" s="457">
        <v>1350</v>
      </c>
      <c r="R235" s="138">
        <v>320</v>
      </c>
      <c r="S235" s="457">
        <v>320</v>
      </c>
      <c r="T235" s="457">
        <v>500</v>
      </c>
      <c r="U235" s="644"/>
      <c r="AB235" s="258">
        <f t="shared" si="10"/>
        <v>575</v>
      </c>
      <c r="AC235" s="259" t="str">
        <f>IF(COUNTIF(AD$78:AD235,AD235)=1,MAX(AC$78:AC234)+1,"")</f>
        <v/>
      </c>
      <c r="AD235" s="220">
        <f>'[2]Изложницы без бурта'!B235</f>
        <v>140</v>
      </c>
      <c r="AE235" s="220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593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46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40" t="b">
        <f>$N$247&lt;=N236</f>
        <v>1</v>
      </c>
      <c r="N236" s="457">
        <f>IF(MAX(O235:O244)&lt;ROW(Втулка!4:4),"",VLOOKUP(ROW(Втулка!4:4),O234:P244,2))</f>
        <v>1200</v>
      </c>
      <c r="O236" s="457">
        <f>IF(COUNTIF(P$232:P236,P236)=1,MAX(O$232:O235)+1,"")</f>
        <v>4</v>
      </c>
      <c r="P236" s="457">
        <v>1200</v>
      </c>
      <c r="Q236" s="457">
        <v>1200</v>
      </c>
      <c r="R236" s="138"/>
      <c r="S236" s="457">
        <v>200</v>
      </c>
      <c r="T236" s="457">
        <v>350</v>
      </c>
      <c r="U236" s="644"/>
      <c r="AB236" s="258">
        <f t="shared" si="10"/>
        <v>580</v>
      </c>
      <c r="AC236" s="259" t="str">
        <f>IF(COUNTIF(AD$78:AD236,AD236)=1,MAX(AC$78:AC235)+1,"")</f>
        <v/>
      </c>
      <c r="AD236" s="220">
        <f>'[2]Изложницы без бурта'!B236</f>
        <v>140</v>
      </c>
      <c r="AE236" s="220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593</v>
      </c>
      <c r="AM236" s="56">
        <f>'[2]Изложницы без бурта'!K236</f>
        <v>0</v>
      </c>
    </row>
    <row r="237" spans="1:39" ht="15.6" x14ac:dyDescent="0.3">
      <c r="M237" s="640" t="b">
        <f>$N$247&lt;=N237</f>
        <v>1</v>
      </c>
      <c r="N237" s="457">
        <f>IF(MAX(O235:O244)&lt;ROW(Втулка!5:5),"",VLOOKUP(ROW(Втулка!5:5),O235:P244,2))</f>
        <v>1400</v>
      </c>
      <c r="O237" s="457">
        <f>IF(COUNTIF(P$232:P237,P237)=1,MAX(O$232:O236)+1,"")</f>
        <v>5</v>
      </c>
      <c r="P237" s="457">
        <v>1400</v>
      </c>
      <c r="Q237" s="457">
        <v>2000</v>
      </c>
      <c r="R237" s="138">
        <v>330</v>
      </c>
      <c r="S237" s="457">
        <v>330</v>
      </c>
      <c r="T237" s="457">
        <v>500</v>
      </c>
      <c r="U237" s="644"/>
      <c r="AB237" s="258">
        <f t="shared" si="10"/>
        <v>585</v>
      </c>
      <c r="AC237" s="259" t="str">
        <f>IF(COUNTIF(AD$78:AD237,AD237)=1,MAX(AC$78:AC236)+1,"")</f>
        <v/>
      </c>
      <c r="AD237" s="220">
        <f>'[2]Изложницы без бурта'!B237</f>
        <v>140</v>
      </c>
      <c r="AE237" s="220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593</v>
      </c>
      <c r="AM237" s="56">
        <f>'[2]Изложницы без бурта'!K237</f>
        <v>0</v>
      </c>
    </row>
    <row r="238" spans="1:39" ht="15.6" x14ac:dyDescent="0.3">
      <c r="A238" s="56" t="s">
        <v>1044</v>
      </c>
      <c r="B238" s="333">
        <f>(Втулка!J28-Втулка!I28)/2</f>
        <v>30.5</v>
      </c>
      <c r="C238" s="333" t="s">
        <v>399</v>
      </c>
      <c r="D238" s="333">
        <f>VLOOKUP(TRUE,Данные!A242:I253,F238,FALSE)</f>
        <v>10</v>
      </c>
      <c r="E238" s="333" t="s">
        <v>960</v>
      </c>
      <c r="F238" s="333">
        <f>_xlfn.IFNA(HLOOKUP(TRUE,C240:H241,2,FALSE)+1,9)</f>
        <v>5</v>
      </c>
      <c r="G238" s="333"/>
      <c r="K238" s="333">
        <f>(Втулка!S28-Втулка!R28)/2</f>
        <v>0</v>
      </c>
      <c r="M238" s="640" t="b">
        <f>$N$247&lt;=N238</f>
        <v>1</v>
      </c>
      <c r="N238" s="457">
        <f>IF(MAX(O236:O244)&lt;ROW(Втулка!6:6),"",VLOOKUP(ROW(Втулка!6:6),O235:P244,2))</f>
        <v>1500</v>
      </c>
      <c r="O238" s="457">
        <f>IF(COUNTIF(P$232:P238,P238)=1,MAX(O$232:O237)+1,"")</f>
        <v>6</v>
      </c>
      <c r="P238" s="457">
        <v>1500</v>
      </c>
      <c r="Q238" s="457">
        <v>1500</v>
      </c>
      <c r="R238" s="138">
        <v>70</v>
      </c>
      <c r="S238" s="457">
        <v>200</v>
      </c>
      <c r="T238" s="457">
        <v>300</v>
      </c>
      <c r="U238" s="644"/>
      <c r="AB238" s="258">
        <f t="shared" si="10"/>
        <v>590</v>
      </c>
      <c r="AC238" s="259" t="str">
        <f>IF(COUNTIF(AD$78:AD238,AD238)=1,MAX(AC$78:AC237)+1,"")</f>
        <v/>
      </c>
      <c r="AD238" s="220">
        <f>'[2]Изложницы без бурта'!B238</f>
        <v>140</v>
      </c>
      <c r="AE238" s="220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593</v>
      </c>
      <c r="AM238" s="56">
        <f>'[2]Изложницы без бурта'!K238</f>
        <v>0</v>
      </c>
    </row>
    <row r="239" spans="1:39" ht="15.6" x14ac:dyDescent="0.3">
      <c r="B239" s="333"/>
      <c r="C239" s="333">
        <v>15</v>
      </c>
      <c r="D239" s="333">
        <v>30</v>
      </c>
      <c r="E239" s="333">
        <v>45</v>
      </c>
      <c r="F239" s="333">
        <v>75</v>
      </c>
      <c r="G239" s="333">
        <v>100</v>
      </c>
      <c r="H239" s="333">
        <v>300</v>
      </c>
      <c r="I239" s="56" t="s">
        <v>1096</v>
      </c>
      <c r="M239" s="640" t="b">
        <f>$N$247&lt;=N239</f>
        <v>1</v>
      </c>
      <c r="N239" s="457">
        <f>IF(MAX(O236:O244)&lt;ROW(Втулка!7:7),"",VLOOKUP(ROW(Втулка!7:7),O236:P244,2))</f>
        <v>1800</v>
      </c>
      <c r="O239" s="457">
        <f>IF(COUNTIF(P$232:P239,P239)=1,MAX(O$232:O238)+1,"")</f>
        <v>7</v>
      </c>
      <c r="P239" s="457">
        <v>1800</v>
      </c>
      <c r="Q239" s="457">
        <v>1800</v>
      </c>
      <c r="R239" s="138">
        <v>225</v>
      </c>
      <c r="S239" s="457">
        <v>225</v>
      </c>
      <c r="T239" s="457">
        <v>360</v>
      </c>
      <c r="U239" s="644"/>
      <c r="AB239" s="258">
        <f t="shared" si="10"/>
        <v>592.5</v>
      </c>
      <c r="AC239" s="259" t="str">
        <f>IF(COUNTIF(AD$78:AD239,AD239)=1,MAX(AC$78:AC238)+1,"")</f>
        <v/>
      </c>
      <c r="AD239" s="220">
        <f>'[2]Изложницы без бурта'!B239</f>
        <v>140</v>
      </c>
      <c r="AE239" s="220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593</v>
      </c>
      <c r="AM239" s="56">
        <f>'[2]Изложницы без бурта'!K239</f>
        <v>0</v>
      </c>
    </row>
    <row r="240" spans="1:39" ht="15.6" x14ac:dyDescent="0.3">
      <c r="B240" s="317"/>
      <c r="C240" s="337" t="b">
        <f>$B238&lt;C239</f>
        <v>0</v>
      </c>
      <c r="D240" s="337" t="b">
        <f t="shared" ref="D240:H240" si="12">$B238&lt;D239</f>
        <v>0</v>
      </c>
      <c r="E240" s="337" t="b">
        <f t="shared" si="12"/>
        <v>1</v>
      </c>
      <c r="F240" s="337" t="b">
        <f t="shared" si="12"/>
        <v>1</v>
      </c>
      <c r="G240" s="337" t="b">
        <f t="shared" si="12"/>
        <v>1</v>
      </c>
      <c r="H240" s="337" t="b">
        <f t="shared" si="12"/>
        <v>1</v>
      </c>
      <c r="M240" s="640" t="b">
        <f>$N$247&lt;=N240</f>
        <v>1</v>
      </c>
      <c r="N240" s="457">
        <f>IF(MAX(O237:O244)&lt;ROW(Втулка!8:8),"",VLOOKUP(ROW(Втулка!8:8),O236:P244,2))</f>
        <v>2000</v>
      </c>
      <c r="O240" s="457" t="str">
        <f>IF(COUNTIF(P$232:P240,P240)=1,MAX(O$232:O239)+1,"")</f>
        <v/>
      </c>
      <c r="P240" s="457">
        <v>1800</v>
      </c>
      <c r="Q240" s="457">
        <v>1800</v>
      </c>
      <c r="R240" s="138">
        <v>340</v>
      </c>
      <c r="S240" s="457">
        <v>340</v>
      </c>
      <c r="T240" s="457">
        <v>300</v>
      </c>
      <c r="U240" s="644">
        <v>500</v>
      </c>
      <c r="AB240" s="258">
        <f t="shared" si="10"/>
        <v>595</v>
      </c>
      <c r="AC240" s="259" t="str">
        <f>IF(COUNTIF(AD$78:AD240,AD240)=1,MAX(AC$78:AC239)+1,"")</f>
        <v/>
      </c>
      <c r="AD240" s="220">
        <f>'[2]Изложницы без бурта'!B240</f>
        <v>140</v>
      </c>
      <c r="AE240" s="220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593</v>
      </c>
      <c r="AM240" s="56">
        <f>'[2]Изложницы без бурта'!K240</f>
        <v>0</v>
      </c>
    </row>
    <row r="241" spans="1:39" ht="15.6" x14ac:dyDescent="0.3">
      <c r="B241" s="334">
        <v>1</v>
      </c>
      <c r="C241" s="334">
        <v>2</v>
      </c>
      <c r="D241" s="334">
        <v>3</v>
      </c>
      <c r="E241" s="334">
        <v>4</v>
      </c>
      <c r="F241" s="334">
        <v>5</v>
      </c>
      <c r="G241" s="334">
        <v>6</v>
      </c>
      <c r="H241" s="334">
        <v>7</v>
      </c>
      <c r="I241" s="56">
        <v>0</v>
      </c>
      <c r="M241" s="640" t="b">
        <f>$N$247&lt;=N241</f>
        <v>1</v>
      </c>
      <c r="N241" s="457">
        <f>IF(MAX(O237:O244)&lt;ROW(Втулка!9:9),"",VLOOKUP(ROW(Втулка!9:9),O237:P244,2))</f>
        <v>2500</v>
      </c>
      <c r="O241" s="457">
        <f>IF(COUNTIF(P$232:P241,P241)=1,MAX(O$232:O240)+1,"")</f>
        <v>8</v>
      </c>
      <c r="P241" s="457">
        <v>2000</v>
      </c>
      <c r="Q241" s="457">
        <v>2500</v>
      </c>
      <c r="R241" s="138">
        <v>300</v>
      </c>
      <c r="S241" s="457">
        <v>300</v>
      </c>
      <c r="T241" s="457">
        <v>700</v>
      </c>
      <c r="U241" s="644">
        <v>500</v>
      </c>
      <c r="AB241" s="258">
        <f t="shared" si="10"/>
        <v>597.5</v>
      </c>
      <c r="AC241" s="259" t="str">
        <f>IF(COUNTIF(AD$78:AD241,AD241)=1,MAX(AC$78:AC240)+1,"")</f>
        <v/>
      </c>
      <c r="AD241" s="220">
        <f>'[2]Изложницы без бурта'!B241</f>
        <v>140</v>
      </c>
      <c r="AE241" s="220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593</v>
      </c>
      <c r="AM241" s="56">
        <f>'[2]Изложницы без бурта'!K241</f>
        <v>0</v>
      </c>
    </row>
    <row r="242" spans="1:39" ht="15.6" x14ac:dyDescent="0.3">
      <c r="A242" s="56" t="b">
        <f>Втулка!N$16&lt;=Данные!B242</f>
        <v>0</v>
      </c>
      <c r="B242" s="334">
        <v>100</v>
      </c>
      <c r="C242" s="334">
        <v>6</v>
      </c>
      <c r="D242" s="334">
        <v>8</v>
      </c>
      <c r="E242" s="334">
        <v>10</v>
      </c>
      <c r="F242" s="334">
        <v>12</v>
      </c>
      <c r="G242" s="334">
        <v>12</v>
      </c>
      <c r="H242" s="334">
        <v>14</v>
      </c>
      <c r="I242" s="56">
        <v>0</v>
      </c>
      <c r="M242" s="640" t="b">
        <f>$N$247&lt;=N242</f>
        <v>1</v>
      </c>
      <c r="N242" s="457">
        <f>IF(MAX(O238:O244)&lt;ROW(Втулка!10:10),"",VLOOKUP(ROW(Втулка!10:10),O237:P244,2))</f>
        <v>3500</v>
      </c>
      <c r="O242" s="457">
        <f>IF(COUNTIF(P$232:P242,P242)=1,MAX(O$232:O241)+1,"")</f>
        <v>9</v>
      </c>
      <c r="P242" s="457">
        <v>2500</v>
      </c>
      <c r="Q242" s="457">
        <v>2500</v>
      </c>
      <c r="R242" s="138">
        <v>320</v>
      </c>
      <c r="S242" s="457">
        <v>320</v>
      </c>
      <c r="T242" s="457">
        <v>700</v>
      </c>
      <c r="U242" s="644">
        <v>380</v>
      </c>
      <c r="AB242" s="258">
        <f t="shared" si="10"/>
        <v>600</v>
      </c>
      <c r="AC242" s="259" t="str">
        <f>IF(COUNTIF(AD$78:AD242,AD242)=1,MAX(AC$78:AC241)+1,"")</f>
        <v/>
      </c>
      <c r="AD242" s="220">
        <f>'[2]Изложницы без бурта'!B242</f>
        <v>140</v>
      </c>
      <c r="AE242" s="220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593</v>
      </c>
      <c r="AM242" s="56">
        <f>'[2]Изложницы без бурта'!K242</f>
        <v>0</v>
      </c>
    </row>
    <row r="243" spans="1:39" ht="15.6" x14ac:dyDescent="0.3">
      <c r="A243" s="56" t="b">
        <f>Втулка!N$16&lt;=Данные!B243</f>
        <v>0</v>
      </c>
      <c r="B243" s="334">
        <v>150</v>
      </c>
      <c r="C243" s="334">
        <v>6</v>
      </c>
      <c r="D243" s="334">
        <v>8</v>
      </c>
      <c r="E243" s="334">
        <v>10</v>
      </c>
      <c r="F243" s="334">
        <v>12</v>
      </c>
      <c r="G243" s="334">
        <v>12</v>
      </c>
      <c r="H243" s="334">
        <v>14</v>
      </c>
      <c r="I243" s="56">
        <v>0</v>
      </c>
      <c r="M243" s="640"/>
      <c r="N243" s="457" t="str">
        <f>IF(MAX(O238:O244)&lt;ROW(Втулка!11:11),"",VLOOKUP(ROW(Втулка!11:11),O238:P244,2))</f>
        <v/>
      </c>
      <c r="O243" s="457">
        <f>IF(COUNTIF(P$232:P243,P243)=1,MAX(O$232:O242)+1,"")</f>
        <v>10</v>
      </c>
      <c r="P243" s="457">
        <v>3500</v>
      </c>
      <c r="Q243" s="457">
        <v>2500</v>
      </c>
      <c r="R243" s="138">
        <v>500</v>
      </c>
      <c r="S243" s="457">
        <v>500</v>
      </c>
      <c r="T243" s="457"/>
      <c r="U243" s="644"/>
      <c r="AB243" s="258">
        <f t="shared" si="10"/>
        <v>610</v>
      </c>
      <c r="AC243" s="259" t="str">
        <f>IF(COUNTIF(AD$78:AD243,AD243)=1,MAX(AC$78:AC242)+1,"")</f>
        <v/>
      </c>
      <c r="AD243" s="220">
        <f>'[2]Изложницы без бурта'!B243</f>
        <v>140</v>
      </c>
      <c r="AE243" s="220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593</v>
      </c>
      <c r="AM243" s="56">
        <f>'[2]Изложницы без бурта'!K243</f>
        <v>0</v>
      </c>
    </row>
    <row r="244" spans="1:39" ht="15.6" x14ac:dyDescent="0.3">
      <c r="A244" s="56" t="b">
        <f>Втулка!N$16&lt;=Данные!B244</f>
        <v>0</v>
      </c>
      <c r="B244" s="334">
        <v>200</v>
      </c>
      <c r="C244" s="334">
        <v>6</v>
      </c>
      <c r="D244" s="334">
        <v>8</v>
      </c>
      <c r="E244" s="334">
        <v>10</v>
      </c>
      <c r="F244" s="334">
        <v>12</v>
      </c>
      <c r="G244" s="334">
        <v>12</v>
      </c>
      <c r="H244" s="334">
        <v>14</v>
      </c>
      <c r="I244" s="56">
        <v>0</v>
      </c>
      <c r="M244" s="640"/>
      <c r="N244" s="457"/>
      <c r="O244" s="457"/>
      <c r="P244" s="457"/>
      <c r="Q244" s="457"/>
      <c r="R244" s="457"/>
      <c r="S244" s="457"/>
      <c r="T244" s="457"/>
      <c r="U244" s="644"/>
      <c r="AB244" s="258">
        <f t="shared" si="10"/>
        <v>620</v>
      </c>
      <c r="AC244" s="259" t="str">
        <f>IF(COUNTIF(AD$78:AD244,AD244)=1,MAX(AC$78:AC243)+1,"")</f>
        <v/>
      </c>
      <c r="AD244" s="220">
        <f>'[2]Изложницы без бурта'!B244</f>
        <v>140</v>
      </c>
      <c r="AE244" s="220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593</v>
      </c>
      <c r="AM244" s="56">
        <f>'[2]Изложницы без бурта'!K244</f>
        <v>0</v>
      </c>
    </row>
    <row r="245" spans="1:39" ht="15.6" x14ac:dyDescent="0.3">
      <c r="A245" s="56" t="b">
        <f>Втулка!N$16&lt;=Данные!B245</f>
        <v>0</v>
      </c>
      <c r="B245" s="334">
        <v>250</v>
      </c>
      <c r="C245" s="334">
        <v>6</v>
      </c>
      <c r="D245" s="334">
        <v>8</v>
      </c>
      <c r="E245" s="334">
        <v>10</v>
      </c>
      <c r="F245" s="334">
        <v>12</v>
      </c>
      <c r="G245" s="334">
        <v>12</v>
      </c>
      <c r="H245" s="334">
        <v>14</v>
      </c>
      <c r="I245" s="56">
        <v>0</v>
      </c>
      <c r="M245" s="228"/>
      <c r="N245" s="138"/>
      <c r="O245" s="138"/>
      <c r="P245" s="138"/>
      <c r="Q245" s="138"/>
      <c r="R245" s="457"/>
      <c r="S245" s="457"/>
      <c r="T245" s="457"/>
      <c r="U245" s="644"/>
      <c r="AB245" s="258">
        <f t="shared" si="10"/>
        <v>622.5</v>
      </c>
      <c r="AC245" s="259" t="str">
        <f>IF(COUNTIF(AD$78:AD245,AD245)=1,MAX(AC$78:AC244)+1,"")</f>
        <v/>
      </c>
      <c r="AD245" s="220">
        <f>'[2]Изложницы без бурта'!B245</f>
        <v>140</v>
      </c>
      <c r="AE245" s="220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593</v>
      </c>
      <c r="AM245" s="56">
        <f>'[2]Изложницы без бурта'!K245</f>
        <v>0</v>
      </c>
    </row>
    <row r="246" spans="1:39" ht="15.6" x14ac:dyDescent="0.3">
      <c r="A246" s="56" t="b">
        <f>Втулка!N$16&lt;=Данные!B246</f>
        <v>1</v>
      </c>
      <c r="B246" s="334">
        <v>300</v>
      </c>
      <c r="C246" s="334">
        <v>6</v>
      </c>
      <c r="D246" s="334">
        <v>8</v>
      </c>
      <c r="E246" s="334">
        <v>10</v>
      </c>
      <c r="F246" s="334">
        <v>12</v>
      </c>
      <c r="G246" s="334">
        <v>14</v>
      </c>
      <c r="H246" s="334">
        <v>14</v>
      </c>
      <c r="I246" s="56">
        <v>0</v>
      </c>
      <c r="M246" s="1766" t="s">
        <v>1304</v>
      </c>
      <c r="N246" s="1756">
        <f>IF(Данные!$F$33=TRUE,Втулка!J28/0.985+80,Втулка!J28/0.985)</f>
        <v>323.85786802030458</v>
      </c>
      <c r="O246" s="457"/>
      <c r="P246" s="457"/>
      <c r="Q246" s="138"/>
      <c r="R246" s="457"/>
      <c r="S246" s="457"/>
      <c r="T246" s="457"/>
      <c r="U246" s="644"/>
      <c r="AB246" s="258">
        <f t="shared" si="10"/>
        <v>625</v>
      </c>
      <c r="AC246" s="259" t="str">
        <f>IF(COUNTIF(AD$78:AD246,AD246)=1,MAX(AC$78:AC245)+1,"")</f>
        <v/>
      </c>
      <c r="AD246" s="220">
        <f>'[2]Изложницы без бурта'!B246</f>
        <v>140</v>
      </c>
      <c r="AE246" s="220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593</v>
      </c>
      <c r="AM246" s="56">
        <f>'[2]Изложницы без бурта'!K246</f>
        <v>0</v>
      </c>
    </row>
    <row r="247" spans="1:39" ht="15.6" x14ac:dyDescent="0.3">
      <c r="A247" s="56" t="b">
        <f>Втулка!N$16&lt;=Данные!B247</f>
        <v>1</v>
      </c>
      <c r="B247" s="334">
        <v>350</v>
      </c>
      <c r="C247" s="334">
        <v>6</v>
      </c>
      <c r="D247" s="334">
        <v>8</v>
      </c>
      <c r="E247" s="334">
        <v>10</v>
      </c>
      <c r="F247" s="334">
        <v>12</v>
      </c>
      <c r="G247" s="334">
        <v>14</v>
      </c>
      <c r="H247" s="334">
        <v>14</v>
      </c>
      <c r="I247" s="56">
        <v>0</v>
      </c>
      <c r="M247" s="1767" t="s">
        <v>1296</v>
      </c>
      <c r="N247" s="1757">
        <f>ROUNDUP((N246+200)/100,0)*100</f>
        <v>600</v>
      </c>
      <c r="O247" s="457"/>
      <c r="P247" s="457"/>
      <c r="Q247" s="138"/>
      <c r="R247" s="457"/>
      <c r="S247" s="457"/>
      <c r="T247" s="457"/>
      <c r="U247" s="644"/>
      <c r="AB247" s="258">
        <f t="shared" si="10"/>
        <v>627.5</v>
      </c>
      <c r="AC247" s="259" t="str">
        <f>IF(COUNTIF(AD$78:AD247,AD247)=1,MAX(AC$78:AC246)+1,"")</f>
        <v/>
      </c>
      <c r="AD247" s="220">
        <f>'[2]Изложницы без бурта'!B247</f>
        <v>140</v>
      </c>
      <c r="AE247" s="220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593</v>
      </c>
      <c r="AM247" s="56">
        <f>'[2]Изложницы без бурта'!K247</f>
        <v>0</v>
      </c>
    </row>
    <row r="248" spans="1:39" ht="15.6" x14ac:dyDescent="0.3">
      <c r="A248" s="56" t="b">
        <f>Втулка!N$16&lt;=Данные!B248</f>
        <v>1</v>
      </c>
      <c r="B248" s="334">
        <v>400</v>
      </c>
      <c r="C248" s="334">
        <v>6</v>
      </c>
      <c r="D248" s="334">
        <v>10</v>
      </c>
      <c r="E248" s="334">
        <v>10</v>
      </c>
      <c r="F248" s="334">
        <v>12</v>
      </c>
      <c r="G248" s="334">
        <v>14</v>
      </c>
      <c r="H248" s="334">
        <v>14</v>
      </c>
      <c r="I248" s="56">
        <v>0</v>
      </c>
      <c r="M248" s="1766" t="s">
        <v>1297</v>
      </c>
      <c r="N248" s="1758">
        <f>VLOOKUP(TRUE,M233:N242,2,0)</f>
        <v>700</v>
      </c>
      <c r="O248" s="1758">
        <f>VLOOKUP(N248,P233:U243,2,0)</f>
        <v>700</v>
      </c>
      <c r="P248" s="1756">
        <f>VLOOKUP(N248,P233:U243,IF(Втулка!H26&lt;120,3,4),0)</f>
        <v>200</v>
      </c>
      <c r="Q248" s="138"/>
      <c r="R248" s="457"/>
      <c r="S248" s="457"/>
      <c r="T248" s="457"/>
      <c r="U248" s="644"/>
      <c r="AB248" s="258">
        <f t="shared" si="10"/>
        <v>630</v>
      </c>
      <c r="AC248" s="259" t="str">
        <f>IF(COUNTIF(AD$78:AD248,AD248)=1,MAX(AC$78:AC247)+1,"")</f>
        <v/>
      </c>
      <c r="AD248" s="220">
        <f>'[2]Изложницы без бурта'!B248</f>
        <v>140</v>
      </c>
      <c r="AE248" s="220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593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Втулка!N$16&lt;=Данные!B249</f>
        <v>1</v>
      </c>
      <c r="B249" s="334">
        <v>600</v>
      </c>
      <c r="C249" s="334">
        <v>10</v>
      </c>
      <c r="D249" s="334">
        <v>10</v>
      </c>
      <c r="E249" s="334">
        <v>12</v>
      </c>
      <c r="F249" s="334">
        <v>14</v>
      </c>
      <c r="G249" s="334">
        <v>14</v>
      </c>
      <c r="H249" s="334">
        <v>14</v>
      </c>
      <c r="I249" s="56">
        <v>0</v>
      </c>
      <c r="M249" s="1767" t="s">
        <v>1300</v>
      </c>
      <c r="N249" s="1757">
        <f>ROUNDUP(Втулка!F22+15+Втулка!D22/0.985,0)</f>
        <v>569</v>
      </c>
      <c r="O249" s="457"/>
      <c r="P249" s="457"/>
      <c r="Q249" s="138"/>
      <c r="R249" s="457"/>
      <c r="S249" s="457"/>
      <c r="T249" s="457"/>
      <c r="U249" s="644"/>
      <c r="AB249" s="258">
        <f t="shared" si="10"/>
        <v>635</v>
      </c>
      <c r="AC249" s="259" t="str">
        <f>IF(COUNTIF(AD$78:AD249,AD249)=1,MAX(AC$78:AC248)+1,"")</f>
        <v/>
      </c>
      <c r="AD249" s="220">
        <f>'[2]Изложницы без бурта'!B249</f>
        <v>140</v>
      </c>
      <c r="AE249" s="220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593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Втулка!N$16&lt;=Данные!B250</f>
        <v>1</v>
      </c>
      <c r="B250" s="335">
        <v>800</v>
      </c>
      <c r="C250" s="335">
        <v>12</v>
      </c>
      <c r="D250" s="335">
        <v>12</v>
      </c>
      <c r="E250" s="335">
        <v>15</v>
      </c>
      <c r="F250" s="335">
        <v>17</v>
      </c>
      <c r="G250" s="335">
        <v>17</v>
      </c>
      <c r="H250" s="335">
        <v>17</v>
      </c>
      <c r="I250" s="56">
        <v>0</v>
      </c>
      <c r="M250" s="647" t="s">
        <v>1305</v>
      </c>
      <c r="N250" s="641">
        <f>VLOOKUP(N248,P233:U243,4,0)</f>
        <v>200</v>
      </c>
      <c r="O250" s="641">
        <f>VLOOKUP(N248,P233:U243,5,0)</f>
        <v>350</v>
      </c>
      <c r="P250" s="648">
        <f>VLOOKUP(N248,P233:U243,6,0)</f>
        <v>150</v>
      </c>
      <c r="Q250" s="138"/>
      <c r="R250" s="457"/>
      <c r="S250" s="457"/>
      <c r="T250" s="457"/>
      <c r="U250" s="644"/>
      <c r="AB250" s="258">
        <f t="shared" si="10"/>
        <v>637.5</v>
      </c>
      <c r="AC250" s="259">
        <f>IF(COUNTIF(AD$78:AD250,AD250)=1,MAX(AC$78:AC249)+1,"")</f>
        <v>23</v>
      </c>
      <c r="AD250" s="220">
        <f>'[2]Изложницы без бурта'!B250</f>
        <v>142.5</v>
      </c>
      <c r="AE250" s="220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594</v>
      </c>
      <c r="AM250" s="56">
        <f>'[2]Изложницы без бурта'!K250</f>
        <v>0</v>
      </c>
    </row>
    <row r="251" spans="1:39" ht="15.6" x14ac:dyDescent="0.3">
      <c r="A251" s="56" t="b">
        <f>Втулка!N$16&lt;=Данные!B251</f>
        <v>1</v>
      </c>
      <c r="B251" s="335">
        <v>1200</v>
      </c>
      <c r="C251" s="335">
        <v>16</v>
      </c>
      <c r="D251" s="335">
        <v>16</v>
      </c>
      <c r="E251" s="335">
        <v>18</v>
      </c>
      <c r="F251" s="335">
        <v>20</v>
      </c>
      <c r="G251" s="335">
        <v>20</v>
      </c>
      <c r="H251" s="335">
        <v>20</v>
      </c>
      <c r="I251" s="56">
        <v>0</v>
      </c>
      <c r="M251" s="640"/>
      <c r="N251" s="647">
        <f>LARGE(N250:P250,1)</f>
        <v>350</v>
      </c>
      <c r="O251" s="641">
        <f>QUOTIENT(N249,LARGE(N250:P250,1))</f>
        <v>1</v>
      </c>
      <c r="P251" s="1759">
        <f>N249-N251*O251</f>
        <v>219</v>
      </c>
      <c r="Q251" s="138"/>
      <c r="R251" s="457"/>
      <c r="S251" s="457"/>
      <c r="T251" s="457"/>
      <c r="U251" s="644"/>
      <c r="AB251" s="258">
        <f t="shared" si="10"/>
        <v>642.5</v>
      </c>
      <c r="AC251" s="259" t="str">
        <f>IF(COUNTIF(AD$78:AD251,AD251)=1,MAX(AC$78:AC250)+1,"")</f>
        <v/>
      </c>
      <c r="AD251" s="220">
        <f>'[2]Изложницы без бурта'!B251</f>
        <v>142.5</v>
      </c>
      <c r="AE251" s="220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594</v>
      </c>
      <c r="AM251" s="56">
        <f>'[2]Изложницы без бурта'!K251</f>
        <v>0</v>
      </c>
    </row>
    <row r="252" spans="1:39" ht="15.6" x14ac:dyDescent="0.3">
      <c r="A252" s="56" t="b">
        <f>Втулка!N$16&lt;=Данные!B252</f>
        <v>1</v>
      </c>
      <c r="B252" s="334">
        <v>1500</v>
      </c>
      <c r="C252" s="334">
        <v>20</v>
      </c>
      <c r="D252" s="334">
        <v>20</v>
      </c>
      <c r="E252" s="334">
        <v>25</v>
      </c>
      <c r="F252" s="334">
        <v>25</v>
      </c>
      <c r="G252" s="334">
        <v>25</v>
      </c>
      <c r="H252" s="334">
        <v>25</v>
      </c>
      <c r="I252" s="56">
        <v>0</v>
      </c>
      <c r="M252" s="640"/>
      <c r="N252" s="640">
        <f>LARGE(N250:P250,2)</f>
        <v>200</v>
      </c>
      <c r="O252" s="457">
        <f>IF(P252=1,1,0)</f>
        <v>1</v>
      </c>
      <c r="P252" s="644">
        <f>IF(P251&gt;40,1,0)</f>
        <v>1</v>
      </c>
      <c r="Q252" s="138"/>
      <c r="R252" s="457"/>
      <c r="S252" s="457"/>
      <c r="T252" s="457"/>
      <c r="U252" s="644"/>
      <c r="AB252" s="258">
        <f t="shared" si="10"/>
        <v>650</v>
      </c>
      <c r="AC252" s="259" t="str">
        <f>IF(COUNTIF(AD$78:AD252,AD252)=1,MAX(AC$78:AC251)+1,"")</f>
        <v/>
      </c>
      <c r="AD252" s="220">
        <f>'[2]Изложницы без бурта'!B252</f>
        <v>142.5</v>
      </c>
      <c r="AE252" s="220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594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Втулка!N$16&lt;=Данные!B253</f>
        <v>1</v>
      </c>
      <c r="B253" s="335">
        <v>2500</v>
      </c>
      <c r="C253" s="334">
        <v>25</v>
      </c>
      <c r="D253" s="334">
        <v>25</v>
      </c>
      <c r="E253" s="334">
        <v>25</v>
      </c>
      <c r="F253" s="334">
        <v>25</v>
      </c>
      <c r="G253" s="334">
        <v>25</v>
      </c>
      <c r="H253" s="334">
        <v>25</v>
      </c>
      <c r="I253" s="56">
        <v>0</v>
      </c>
      <c r="M253" s="640"/>
      <c r="N253" s="640">
        <f>LARGE(N250:P250,3)</f>
        <v>150</v>
      </c>
      <c r="O253" s="457">
        <f>IF(AND(P252=0,P251&gt;45),2,0)</f>
        <v>0</v>
      </c>
      <c r="P253" s="644">
        <f>N253*O253</f>
        <v>0</v>
      </c>
      <c r="Q253" s="138"/>
      <c r="R253" s="457"/>
      <c r="S253" s="457"/>
      <c r="T253" s="457"/>
      <c r="U253" s="644"/>
      <c r="AB253" s="258">
        <f t="shared" si="10"/>
        <v>652.5</v>
      </c>
      <c r="AC253" s="259" t="str">
        <f>IF(COUNTIF(AD$78:AD253,AD253)=1,MAX(AC$78:AC252)+1,"")</f>
        <v/>
      </c>
      <c r="AD253" s="220">
        <f>'[2]Изложницы без бурта'!B253</f>
        <v>142.5</v>
      </c>
      <c r="AE253" s="220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594</v>
      </c>
      <c r="AM253" s="56">
        <f>'[2]Изложницы без бурта'!K253</f>
        <v>0</v>
      </c>
    </row>
    <row r="254" spans="1:39" ht="16.2" thickBot="1" x14ac:dyDescent="0.35">
      <c r="M254" s="647" t="s">
        <v>1303</v>
      </c>
      <c r="N254" s="641">
        <f>N251</f>
        <v>350</v>
      </c>
      <c r="O254" s="641">
        <f>O251</f>
        <v>1</v>
      </c>
      <c r="P254" s="648"/>
      <c r="Q254" s="138"/>
      <c r="R254" s="457"/>
      <c r="S254" s="457"/>
      <c r="T254" s="457"/>
      <c r="U254" s="644"/>
      <c r="AB254" s="258">
        <f t="shared" si="10"/>
        <v>655</v>
      </c>
      <c r="AC254" s="259" t="str">
        <f>IF(COUNTIF(AD$78:AD254,AD254)=1,MAX(AC$78:AC253)+1,"")</f>
        <v/>
      </c>
      <c r="AD254" s="220">
        <f>'[2]Изложницы без бурта'!B254</f>
        <v>142.5</v>
      </c>
      <c r="AE254" s="220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594</v>
      </c>
      <c r="AM254" s="56">
        <f>'[2]Изложницы без бурта'!K254</f>
        <v>0</v>
      </c>
    </row>
    <row r="255" spans="1:39" ht="16.2" thickBot="1" x14ac:dyDescent="0.35">
      <c r="A255" s="217"/>
      <c r="B255" s="909"/>
      <c r="C255" s="218"/>
      <c r="D255" s="218"/>
      <c r="E255" s="218"/>
      <c r="F255" s="218"/>
      <c r="G255" s="218"/>
      <c r="H255" s="218"/>
      <c r="I255" s="218"/>
      <c r="J255" s="218"/>
      <c r="K255" s="219"/>
      <c r="M255" s="640"/>
      <c r="N255" s="457">
        <f>N252</f>
        <v>200</v>
      </c>
      <c r="O255" s="457">
        <f>O252</f>
        <v>1</v>
      </c>
      <c r="P255" s="644"/>
      <c r="Q255" s="138"/>
      <c r="R255" s="457"/>
      <c r="S255" s="457"/>
      <c r="T255" s="457"/>
      <c r="U255" s="644"/>
      <c r="AB255" s="258">
        <f t="shared" si="10"/>
        <v>657.5</v>
      </c>
      <c r="AC255" s="259" t="str">
        <f>IF(COUNTIF(AD$78:AD255,AD255)=1,MAX(AC$78:AC254)+1,"")</f>
        <v/>
      </c>
      <c r="AD255" s="220">
        <f>'[2]Изложницы без бурта'!B255</f>
        <v>142.5</v>
      </c>
      <c r="AE255" s="220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594</v>
      </c>
      <c r="AM255" s="56">
        <f>'[2]Изложницы без бурта'!K255</f>
        <v>0</v>
      </c>
    </row>
    <row r="256" spans="1:39" ht="16.2" thickBot="1" x14ac:dyDescent="0.35">
      <c r="A256" s="241" t="s">
        <v>1185</v>
      </c>
      <c r="B256" s="64"/>
      <c r="C256" s="67"/>
      <c r="D256" s="64" t="s">
        <v>119</v>
      </c>
      <c r="E256" s="64" t="s">
        <v>123</v>
      </c>
      <c r="F256" s="64" t="s">
        <v>133</v>
      </c>
      <c r="G256" s="138"/>
      <c r="H256" s="138"/>
      <c r="I256" s="138"/>
      <c r="J256" s="138"/>
      <c r="K256" s="230"/>
      <c r="M256" s="658"/>
      <c r="N256" s="659">
        <f>N253</f>
        <v>150</v>
      </c>
      <c r="O256" s="659">
        <f>O253</f>
        <v>0</v>
      </c>
      <c r="P256" s="687"/>
      <c r="Q256" s="138"/>
      <c r="R256" s="457"/>
      <c r="S256" s="457"/>
      <c r="T256" s="457"/>
      <c r="U256" s="644"/>
      <c r="AB256" s="258">
        <f t="shared" si="10"/>
        <v>660</v>
      </c>
      <c r="AC256" s="259" t="str">
        <f>IF(COUNTIF(AD$78:AD256,AD256)=1,MAX(AC$78:AC255)+1,"")</f>
        <v/>
      </c>
      <c r="AD256" s="220">
        <f>'[2]Изложницы без бурта'!B256</f>
        <v>142.5</v>
      </c>
      <c r="AE256" s="220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594</v>
      </c>
      <c r="AM256" s="56">
        <f>'[2]Изложницы без бурта'!K256</f>
        <v>0</v>
      </c>
    </row>
    <row r="257" spans="1:39" ht="16.2" thickBot="1" x14ac:dyDescent="0.35">
      <c r="A257" s="68" t="s">
        <v>148</v>
      </c>
      <c r="B257" s="57" t="str">
        <f>_xlfn.IFNA(_xlfn.IFS(C257=D256,D257,C257=E256,E257,C257=F256,F257),H23)</f>
        <v>242.04.463-1</v>
      </c>
      <c r="C257" s="66" t="str">
        <f>VLOOKUP('Втулка с буртом'!F8,Марка_мет,8,FALSE())</f>
        <v>242.04.463</v>
      </c>
      <c r="D257" s="57" t="str">
        <f>_xlfn.IFNA(_xlfn.IFS(AND(C257=A45,B36&lt;600),B47,AND(C257=A45,B36&gt;=600,B36&lt;1500),B47,AND(C257=A45,B36&gt;=1500,B36&lt;2000),B48,AND(C257=A45,B36&gt;=2000,B36&lt;2500),B49,AND(C257=A45,B36&gt;=2500,B36&lt;3000),B50,AND(C257=A45,B36&gt;=3000,B36&lt;3500),B51,AND(C257=A45,B36&gt;=3500,B36&lt;4000),B52,AND(C257=A45,B36&gt;=4000,B36&lt;4500),B53,AND(C257=A45,B36&gt;=4500,B36&lt;5500),B54,AND(C257=A45,B36&gt;=5500),B55),"")</f>
        <v/>
      </c>
      <c r="E257" s="57" t="str">
        <f>_xlfn.IFNA(_xlfn.IFS(AND(C257=A57,B36&lt;500),A60,AND(C257=A57,B36&gt;=500,B36&lt;1000),A60,AND(C257=A57,B36&gt;=1000,B36&lt;1500),A61,AND(C257=A57,B36&gt;=1500,B36&lt;2000),A62,AND(C257=A57,B36&gt;=2000,B36&lt;2500),A63,AND(C257=A57,B36&gt;=2500,B36&lt;3000),A64,AND(C257=A57,B36&gt;=3000,B36&lt;3500),A65,AND(C257=A57,B36&gt;=3500),A66),"")</f>
        <v>242.04.463-1</v>
      </c>
      <c r="F257" s="57" t="str">
        <f>_xlfn.IFNA(_xlfn.IFS(AND(C257=A71,B36&lt;500),A73,AND(C257=A71,B36&gt;=500,B36&lt;1000),A74,AND(C257=A71,B36&gt;=1000,B36&lt;1500),A75,AND(C257=A71,B36&gt;=1500,B36&lt;2000),A76,AND(C257=A71,B36&gt;=2000,B36&lt;2500),A77,AND(C257=A71,B36&gt;=2500),A78),"")</f>
        <v/>
      </c>
      <c r="G257" s="138"/>
      <c r="H257" s="138"/>
      <c r="I257" s="138"/>
      <c r="J257" s="138"/>
      <c r="K257" s="230"/>
      <c r="M257" s="683" t="s">
        <v>1306</v>
      </c>
      <c r="N257" s="685">
        <f>N254*O254+N255*O255+N256*O256+P248</f>
        <v>750</v>
      </c>
      <c r="O257" s="685"/>
      <c r="P257" s="684"/>
      <c r="Q257" s="659"/>
      <c r="R257" s="659"/>
      <c r="S257" s="659"/>
      <c r="T257" s="659"/>
      <c r="U257" s="687"/>
      <c r="AB257" s="258">
        <f t="shared" si="10"/>
        <v>665</v>
      </c>
      <c r="AC257" s="259" t="str">
        <f>IF(COUNTIF(AD$78:AD257,AD257)=1,MAX(AC$78:AC256)+1,"")</f>
        <v/>
      </c>
      <c r="AD257" s="220">
        <f>'[2]Изложницы без бурта'!B257</f>
        <v>142.5</v>
      </c>
      <c r="AE257" s="220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594</v>
      </c>
      <c r="AM257" s="56">
        <f>'[2]Изложницы без бурта'!K257</f>
        <v>0</v>
      </c>
    </row>
    <row r="258" spans="1:39" ht="14.4" thickBot="1" x14ac:dyDescent="0.3">
      <c r="A258" s="1270" t="s">
        <v>26</v>
      </c>
      <c r="B258" s="1271">
        <f>ROUND(_xlfn.IFS(C257=D256,D258,C257=E256,E258,C257=F256,F258),2)</f>
        <v>58.88</v>
      </c>
      <c r="C258" s="69"/>
      <c r="D258" s="69" t="e">
        <f>G303</f>
        <v>#N/A</v>
      </c>
      <c r="E258" s="243">
        <f>H274</f>
        <v>58.884300710375996</v>
      </c>
      <c r="F258" s="243" t="e">
        <f>I289</f>
        <v>#N/A</v>
      </c>
      <c r="G258" s="138"/>
      <c r="H258" s="138"/>
      <c r="I258" s="138"/>
      <c r="J258" s="138"/>
      <c r="K258" s="230"/>
      <c r="AB258" s="258">
        <f t="shared" si="10"/>
        <v>667.5</v>
      </c>
      <c r="AC258" s="259">
        <f>IF(COUNTIF(AD$78:AD258,AD258)=1,MAX(AC$78:AC257)+1,"")</f>
        <v>24</v>
      </c>
      <c r="AD258" s="220">
        <f>'[2]Изложницы без бурта'!B258</f>
        <v>145</v>
      </c>
      <c r="AE258" s="220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595</v>
      </c>
      <c r="AM258" s="56">
        <f>'[2]Изложницы без бурта'!K258</f>
        <v>0</v>
      </c>
    </row>
    <row r="259" spans="1:39" ht="14.4" thickBot="1" x14ac:dyDescent="0.3">
      <c r="A259" s="1308"/>
      <c r="B259" s="1272"/>
      <c r="C259" s="138"/>
      <c r="D259" s="138"/>
      <c r="E259" s="138"/>
      <c r="F259" s="138"/>
      <c r="G259" s="138"/>
      <c r="H259" s="138"/>
      <c r="I259" s="138"/>
      <c r="J259" s="138"/>
      <c r="K259" s="230"/>
      <c r="M259" s="1769" t="s">
        <v>1309</v>
      </c>
      <c r="N259" s="1770"/>
      <c r="O259" s="1771"/>
      <c r="AB259" s="258">
        <f t="shared" si="10"/>
        <v>700</v>
      </c>
      <c r="AC259" s="259" t="str">
        <f>IF(COUNTIF(AD$78:AD259,AD259)=1,MAX(AC$78:AC258)+1,"")</f>
        <v/>
      </c>
      <c r="AD259" s="220">
        <f>'[2]Изложницы без бурта'!B259</f>
        <v>145</v>
      </c>
      <c r="AE259" s="220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595</v>
      </c>
      <c r="AM259" s="56">
        <f>'[2]Изложницы без бурта'!K259</f>
        <v>0</v>
      </c>
    </row>
    <row r="260" spans="1:39" ht="15.6" x14ac:dyDescent="0.3">
      <c r="A260" s="228"/>
      <c r="B260" s="1309"/>
      <c r="C260" s="138"/>
      <c r="D260" s="138"/>
      <c r="E260" s="138"/>
      <c r="F260" s="138"/>
      <c r="G260" s="138"/>
      <c r="H260" s="138"/>
      <c r="I260" s="138"/>
      <c r="J260" s="138"/>
      <c r="K260" s="230"/>
      <c r="M260" s="640" t="b">
        <f>(Втулка!N16-Втулка!N17)/2&lt;=N260</f>
        <v>1</v>
      </c>
      <c r="N260" s="457">
        <v>10</v>
      </c>
      <c r="O260" s="644">
        <v>12</v>
      </c>
      <c r="AB260" s="258" t="str">
        <f t="shared" si="10"/>
        <v/>
      </c>
      <c r="AC260" s="259" t="str">
        <f>IF(COUNTIF(AD$78:AD260,AD260)=1,MAX(AC$78:AC259)+1,"")</f>
        <v/>
      </c>
      <c r="AD260" s="220">
        <f>'[2]Изложницы без бурта'!B260</f>
        <v>145</v>
      </c>
      <c r="AE260" s="220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595</v>
      </c>
      <c r="AM260" s="56">
        <f>'[2]Изложницы без бурта'!K260</f>
        <v>0</v>
      </c>
    </row>
    <row r="261" spans="1:39" ht="16.2" thickBot="1" x14ac:dyDescent="0.35">
      <c r="A261" s="228" t="s">
        <v>200</v>
      </c>
      <c r="B261" s="224"/>
      <c r="C261" s="224"/>
      <c r="D261" s="224"/>
      <c r="E261" s="1310"/>
      <c r="F261" s="138"/>
      <c r="G261" s="138"/>
      <c r="H261" s="138"/>
      <c r="I261" s="138"/>
      <c r="J261" s="138"/>
      <c r="K261" s="230"/>
      <c r="M261" s="640" t="b">
        <f>(Втулка!N17-Втулка!N18)/2&lt;=N261</f>
        <v>1</v>
      </c>
      <c r="N261" s="457">
        <v>15</v>
      </c>
      <c r="O261" s="644">
        <v>12</v>
      </c>
      <c r="AB261" s="258" t="str">
        <f t="shared" si="10"/>
        <v/>
      </c>
      <c r="AC261" s="259" t="str">
        <f>IF(COUNTIF(AD$78:AD261,AD261)=1,MAX(AC$78:AC260)+1,"")</f>
        <v/>
      </c>
      <c r="AD261" s="220">
        <f>'[2]Изложницы без бурта'!B261</f>
        <v>145</v>
      </c>
      <c r="AE261" s="220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595</v>
      </c>
      <c r="AM261" s="56">
        <f>'[2]Изложницы без бурта'!K261</f>
        <v>0</v>
      </c>
    </row>
    <row r="262" spans="1:39" ht="15.6" x14ac:dyDescent="0.3">
      <c r="A262" s="262" t="s">
        <v>201</v>
      </c>
      <c r="B262" s="263"/>
      <c r="C262" s="264" t="s">
        <v>202</v>
      </c>
      <c r="D262" s="263"/>
      <c r="E262" s="264" t="s">
        <v>150</v>
      </c>
      <c r="F262" s="265"/>
      <c r="G262" s="263"/>
      <c r="H262" s="266" t="s">
        <v>203</v>
      </c>
      <c r="I262" s="267"/>
      <c r="J262" s="138"/>
      <c r="K262" s="230"/>
      <c r="M262" s="640" t="b">
        <f>(Втулка!N16-Втулка!N17)/2&lt;=N262</f>
        <v>1</v>
      </c>
      <c r="N262" s="457">
        <v>20</v>
      </c>
      <c r="O262" s="644">
        <v>14</v>
      </c>
      <c r="AB262" s="258" t="str">
        <f t="shared" si="10"/>
        <v/>
      </c>
      <c r="AC262" s="259" t="str">
        <f>IF(COUNTIF(AD$78:AD262,AD262)=1,MAX(AC$78:AC261)+1,"")</f>
        <v/>
      </c>
      <c r="AD262" s="220">
        <f>'[2]Изложницы без бурта'!B262</f>
        <v>145</v>
      </c>
      <c r="AE262" s="220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595</v>
      </c>
      <c r="AM262" s="56">
        <f>'[2]Изложницы без бурта'!K262</f>
        <v>0</v>
      </c>
    </row>
    <row r="263" spans="1:39" ht="15.6" x14ac:dyDescent="0.3">
      <c r="A263" s="268" t="s">
        <v>204</v>
      </c>
      <c r="B263" s="269"/>
      <c r="C263" s="270" t="s">
        <v>151</v>
      </c>
      <c r="D263" s="270"/>
      <c r="E263" s="270" t="s">
        <v>179</v>
      </c>
      <c r="F263" s="271"/>
      <c r="G263" s="270"/>
      <c r="H263" s="272"/>
      <c r="I263" s="138"/>
      <c r="J263" s="138"/>
      <c r="K263" s="230"/>
      <c r="M263" s="640" t="b">
        <f>(Втулка!N19-Втулка!N20)/2&lt;=N263</f>
        <v>1</v>
      </c>
      <c r="N263" s="457">
        <v>25</v>
      </c>
      <c r="O263" s="644">
        <v>14</v>
      </c>
      <c r="AB263" s="258" t="str">
        <f t="shared" si="10"/>
        <v/>
      </c>
      <c r="AC263" s="259" t="str">
        <f>IF(COUNTIF(AD$78:AD263,AD263)=1,MAX(AC$78:AC262)+1,"")</f>
        <v/>
      </c>
      <c r="AD263" s="220">
        <f>'[2]Изложницы без бурта'!B263</f>
        <v>145</v>
      </c>
      <c r="AE263" s="220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595</v>
      </c>
      <c r="AM263" s="56">
        <f>'[2]Изложницы без бурта'!K263</f>
        <v>0</v>
      </c>
    </row>
    <row r="264" spans="1:39" ht="15.6" x14ac:dyDescent="0.3">
      <c r="A264" s="273">
        <f>VLOOKUP(B257,A60:I66,6,FALSE)</f>
        <v>60</v>
      </c>
      <c r="B264" s="274">
        <f>A264</f>
        <v>60</v>
      </c>
      <c r="C264" s="275">
        <f>VLOOKUP(B257,A60:I66,3,FALSE)</f>
        <v>21</v>
      </c>
      <c r="D264" s="271"/>
      <c r="E264" s="275">
        <f>VLOOKUP(B257,A60:I66,7,FALSE)</f>
        <v>33</v>
      </c>
      <c r="F264" s="271"/>
      <c r="G264" s="270"/>
      <c r="H264" s="272"/>
      <c r="I264" s="138"/>
      <c r="J264" s="138"/>
      <c r="K264" s="230"/>
      <c r="M264" s="640" t="b">
        <f>(Втулка!N20-Втулка!N21)/2&lt;=N264</f>
        <v>1</v>
      </c>
      <c r="N264" s="457">
        <v>30</v>
      </c>
      <c r="O264" s="644">
        <v>16</v>
      </c>
      <c r="AB264" s="258" t="str">
        <f t="shared" si="10"/>
        <v/>
      </c>
      <c r="AC264" s="259" t="str">
        <f>IF(COUNTIF(AD$78:AD264,AD264)=1,MAX(AC$78:AC263)+1,"")</f>
        <v/>
      </c>
      <c r="AD264" s="220">
        <f>'[2]Изложницы без бурта'!B264</f>
        <v>145</v>
      </c>
      <c r="AE264" s="220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595</v>
      </c>
      <c r="AM264" s="56">
        <f>'[2]Изложницы без бурта'!K264</f>
        <v>0</v>
      </c>
    </row>
    <row r="265" spans="1:39" ht="15.6" x14ac:dyDescent="0.3">
      <c r="A265" s="276"/>
      <c r="B265" s="269"/>
      <c r="C265" s="270" t="s">
        <v>152</v>
      </c>
      <c r="D265" s="270"/>
      <c r="E265" s="270" t="s">
        <v>180</v>
      </c>
      <c r="F265" s="271"/>
      <c r="G265" s="270"/>
      <c r="H265" s="272"/>
      <c r="I265" s="138"/>
      <c r="J265" s="138"/>
      <c r="K265" s="230"/>
      <c r="M265" s="640" t="b">
        <f>(Втулка!N21-Втулка!N22)/2&lt;=N265</f>
        <v>1</v>
      </c>
      <c r="N265" s="457">
        <v>35</v>
      </c>
      <c r="O265" s="644">
        <v>16</v>
      </c>
      <c r="AB265" s="258" t="str">
        <f t="shared" si="10"/>
        <v/>
      </c>
      <c r="AC265" s="259" t="str">
        <f>IF(COUNTIF(AD$78:AD265,AD265)=1,MAX(AC$78:AC264)+1,"")</f>
        <v/>
      </c>
      <c r="AD265" s="220">
        <f>'[2]Изложницы без бурта'!B265</f>
        <v>145</v>
      </c>
      <c r="AE265" s="220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595</v>
      </c>
      <c r="AM265" s="56">
        <f>'[2]Изложницы без бурта'!K265</f>
        <v>0</v>
      </c>
    </row>
    <row r="266" spans="1:39" ht="15.6" x14ac:dyDescent="0.3">
      <c r="A266" s="268" t="s">
        <v>89</v>
      </c>
      <c r="B266" s="269"/>
      <c r="C266" s="275">
        <f>VLOOKUP(B257,A60:I66,4,FALSE)</f>
        <v>18</v>
      </c>
      <c r="D266" s="277">
        <f>(C264+C266)/2</f>
        <v>19.5</v>
      </c>
      <c r="E266" s="275">
        <f>VLOOKUP(B257,A60:I66,8,FALSE)</f>
        <v>27</v>
      </c>
      <c r="F266" s="270">
        <f>(E264+E266)/2</f>
        <v>30</v>
      </c>
      <c r="G266" s="271"/>
      <c r="H266" s="272"/>
      <c r="I266" s="138"/>
      <c r="J266" s="138"/>
      <c r="K266" s="230"/>
      <c r="M266" s="640" t="b">
        <f>(Втулка!N22-Втулка!N23)/2&lt;=N266</f>
        <v>1</v>
      </c>
      <c r="N266" s="457">
        <v>40</v>
      </c>
      <c r="O266" s="644">
        <v>18</v>
      </c>
      <c r="AB266" s="258" t="str">
        <f t="shared" si="10"/>
        <v/>
      </c>
      <c r="AC266" s="259" t="str">
        <f>IF(COUNTIF(AD$78:AD266,AD266)=1,MAX(AC$78:AC265)+1,"")</f>
        <v/>
      </c>
      <c r="AD266" s="220">
        <f>'[2]Изложницы без бурта'!B266</f>
        <v>145</v>
      </c>
      <c r="AE266" s="220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595</v>
      </c>
      <c r="AM266" s="56">
        <f>'[2]Изложницы без бурта'!K266</f>
        <v>0</v>
      </c>
    </row>
    <row r="267" spans="1:39" ht="15.6" x14ac:dyDescent="0.3">
      <c r="A267" s="273">
        <f>'Втулка с буртом'!M7+'Втулка с буртом'!M11</f>
        <v>1495</v>
      </c>
      <c r="B267" s="274">
        <f>A267</f>
        <v>1495</v>
      </c>
      <c r="C267" s="270" t="s">
        <v>153</v>
      </c>
      <c r="D267" s="270"/>
      <c r="E267" s="270" t="s">
        <v>205</v>
      </c>
      <c r="F267" s="270"/>
      <c r="G267" s="271"/>
      <c r="H267" s="272"/>
      <c r="I267" s="138"/>
      <c r="J267" s="138"/>
      <c r="K267" s="230"/>
      <c r="M267" s="640" t="b">
        <f>(Втулка!N23-Втулка!N24)/2&lt;=N267</f>
        <v>1</v>
      </c>
      <c r="N267" s="457">
        <v>45</v>
      </c>
      <c r="O267" s="644">
        <v>18</v>
      </c>
      <c r="AB267" s="258" t="str">
        <f t="shared" si="10"/>
        <v/>
      </c>
      <c r="AC267" s="259" t="str">
        <f>IF(COUNTIF(AD$78:AD267,AD267)=1,MAX(AC$78:AC266)+1,"")</f>
        <v/>
      </c>
      <c r="AD267" s="220">
        <f>'[2]Изложницы без бурта'!B267</f>
        <v>145</v>
      </c>
      <c r="AE267" s="220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595</v>
      </c>
      <c r="AM267" s="56">
        <f>'[2]Изложницы без бурта'!K267</f>
        <v>0</v>
      </c>
    </row>
    <row r="268" spans="1:39" ht="15.6" x14ac:dyDescent="0.3">
      <c r="A268" s="276"/>
      <c r="B268" s="278">
        <f>'Втулка с буртом'!M8</f>
        <v>8.5</v>
      </c>
      <c r="C268" s="275">
        <f>VLOOKUP(B257,A60:I66,5,FALSE)</f>
        <v>23</v>
      </c>
      <c r="D268" s="277">
        <f>C268</f>
        <v>23</v>
      </c>
      <c r="E268" s="275">
        <f>VLOOKUP(B257,A60:I66,9,FALSE)</f>
        <v>36</v>
      </c>
      <c r="F268" s="270">
        <f>E268</f>
        <v>36</v>
      </c>
      <c r="G268" s="271"/>
      <c r="H268" s="279"/>
      <c r="I268" s="138"/>
      <c r="J268" s="138"/>
      <c r="K268" s="230"/>
      <c r="M268" s="640" t="b">
        <f>(Втулка!N24-Втулка!N25)/2&lt;=N268</f>
        <v>1</v>
      </c>
      <c r="N268" s="457">
        <v>50</v>
      </c>
      <c r="O268" s="644">
        <v>20</v>
      </c>
      <c r="AB268" s="258" t="str">
        <f t="shared" si="10"/>
        <v/>
      </c>
      <c r="AC268" s="259" t="str">
        <f>IF(COUNTIF(AD$78:AD268,AD268)=1,MAX(AC$78:AC267)+1,"")</f>
        <v/>
      </c>
      <c r="AD268" s="220">
        <f>'[2]Изложницы без бурта'!B268</f>
        <v>145</v>
      </c>
      <c r="AE268" s="220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595</v>
      </c>
      <c r="AM268" s="56">
        <f>'[2]Изложницы без бурта'!K268</f>
        <v>0</v>
      </c>
    </row>
    <row r="269" spans="1:39" ht="15.6" x14ac:dyDescent="0.3">
      <c r="A269" s="276"/>
      <c r="B269" s="280">
        <f>B264*B264*3.1415926*B267*B268/4000000</f>
        <v>35.92960916805</v>
      </c>
      <c r="C269" s="281" t="s">
        <v>89</v>
      </c>
      <c r="D269" s="270"/>
      <c r="E269" s="281" t="s">
        <v>206</v>
      </c>
      <c r="F269" s="270"/>
      <c r="G269" s="271"/>
      <c r="H269" s="279"/>
      <c r="I269" s="138"/>
      <c r="J269" s="138"/>
      <c r="K269" s="230"/>
      <c r="M269" s="640" t="b">
        <f>(Втулка!N25-Втулка!N26)/2&lt;=N269</f>
        <v>1</v>
      </c>
      <c r="N269" s="457">
        <v>55</v>
      </c>
      <c r="O269" s="644">
        <v>20</v>
      </c>
      <c r="AB269" s="258" t="str">
        <f t="shared" si="10"/>
        <v/>
      </c>
      <c r="AC269" s="259" t="str">
        <f>IF(COUNTIF(AD$78:AD269,AD269)=1,MAX(AC$78:AC268)+1,"")</f>
        <v/>
      </c>
      <c r="AD269" s="220">
        <f>'[2]Изложницы без бурта'!B269</f>
        <v>145</v>
      </c>
      <c r="AE269" s="220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595</v>
      </c>
      <c r="AM269" s="56">
        <f>'[2]Изложницы без бурта'!K269</f>
        <v>0</v>
      </c>
    </row>
    <row r="270" spans="1:39" ht="15.6" x14ac:dyDescent="0.3">
      <c r="A270" s="276"/>
      <c r="B270" s="270"/>
      <c r="C270" s="275">
        <v>50</v>
      </c>
      <c r="D270" s="277">
        <f>C270</f>
        <v>50</v>
      </c>
      <c r="E270" s="275">
        <f>'Втулка с буртом'!M4</f>
        <v>940</v>
      </c>
      <c r="F270" s="282">
        <f>2*3.1415926*E273/2</f>
        <v>3223.2740076</v>
      </c>
      <c r="G270" s="271"/>
      <c r="H270" s="279"/>
      <c r="I270" s="138"/>
      <c r="J270" s="138"/>
      <c r="K270" s="230"/>
      <c r="M270" s="640" t="b">
        <f>(Втулка!N26-Втулка!N27)/2&lt;=N270</f>
        <v>1</v>
      </c>
      <c r="N270" s="457">
        <v>60</v>
      </c>
      <c r="O270" s="644">
        <v>22</v>
      </c>
      <c r="AB270" s="258" t="str">
        <f t="shared" si="10"/>
        <v/>
      </c>
      <c r="AC270" s="259" t="str">
        <f>IF(COUNTIF(AD$78:AD270,AD270)=1,MAX(AC$78:AC269)+1,"")</f>
        <v/>
      </c>
      <c r="AD270" s="220">
        <f>'[2]Изложницы без бурта'!B270</f>
        <v>145</v>
      </c>
      <c r="AE270" s="220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595</v>
      </c>
      <c r="AM270" s="56">
        <f>'[2]Изложницы без бурта'!K270</f>
        <v>0</v>
      </c>
    </row>
    <row r="271" spans="1:39" ht="15.6" x14ac:dyDescent="0.3">
      <c r="A271" s="276"/>
      <c r="B271" s="271"/>
      <c r="C271" s="281" t="s">
        <v>175</v>
      </c>
      <c r="D271" s="270"/>
      <c r="E271" s="281" t="s">
        <v>207</v>
      </c>
      <c r="F271" s="270"/>
      <c r="G271" s="281" t="s">
        <v>208</v>
      </c>
      <c r="H271" s="279"/>
      <c r="I271" s="138"/>
      <c r="J271" s="138"/>
      <c r="K271" s="230"/>
      <c r="M271" s="640" t="b">
        <f>(Втулка!N27-Втулка!N28)/2&lt;=N271</f>
        <v>1</v>
      </c>
      <c r="N271" s="457">
        <v>65</v>
      </c>
      <c r="O271" s="644">
        <v>22</v>
      </c>
      <c r="AB271" s="258" t="str">
        <f t="shared" si="10"/>
        <v/>
      </c>
      <c r="AC271" s="259" t="str">
        <f>IF(COUNTIF(AD$78:AD271,AD271)=1,MAX(AC$78:AC270)+1,"")</f>
        <v/>
      </c>
      <c r="AD271" s="220">
        <f>'[2]Изложницы без бурта'!B271</f>
        <v>145</v>
      </c>
      <c r="AE271" s="220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595</v>
      </c>
      <c r="AM271" s="56">
        <f>'[2]Изложницы без бурта'!K271</f>
        <v>0</v>
      </c>
    </row>
    <row r="272" spans="1:39" ht="15.6" x14ac:dyDescent="0.3">
      <c r="A272" s="276"/>
      <c r="B272" s="271"/>
      <c r="C272" s="275">
        <f>VLOOKUP(B257,A60:I66,2,FALSE)</f>
        <v>4</v>
      </c>
      <c r="D272" s="277">
        <f>C272</f>
        <v>4</v>
      </c>
      <c r="E272" s="281" t="s">
        <v>209</v>
      </c>
      <c r="F272" s="270"/>
      <c r="G272" s="275">
        <v>270</v>
      </c>
      <c r="H272" s="279"/>
      <c r="I272" s="138"/>
      <c r="J272" s="138"/>
      <c r="K272" s="230"/>
      <c r="M272" s="640" t="b">
        <f>(Втулка!N28-Втулка!N29)/2&lt;=N272</f>
        <v>1</v>
      </c>
      <c r="N272" s="457">
        <v>70</v>
      </c>
      <c r="O272" s="644">
        <v>24</v>
      </c>
      <c r="AB272" s="258" t="str">
        <f t="shared" si="10"/>
        <v/>
      </c>
      <c r="AC272" s="259" t="str">
        <f>IF(COUNTIF(AD$78:AD272,AD272)=1,MAX(AC$78:AC271)+1,"")</f>
        <v/>
      </c>
      <c r="AD272" s="220">
        <f>'[2]Изложницы без бурта'!B272</f>
        <v>145</v>
      </c>
      <c r="AE272" s="220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595</v>
      </c>
      <c r="AM272" s="56">
        <f>'[2]Изложницы без бурта'!K272</f>
        <v>0</v>
      </c>
    </row>
    <row r="273" spans="1:39" ht="15.6" x14ac:dyDescent="0.3">
      <c r="A273" s="276"/>
      <c r="B273" s="271"/>
      <c r="C273" s="271"/>
      <c r="D273" s="278">
        <f>B268</f>
        <v>8.5</v>
      </c>
      <c r="E273" s="270">
        <f>E270+C270+E268</f>
        <v>1026</v>
      </c>
      <c r="F273" s="278">
        <f>B268</f>
        <v>8.5</v>
      </c>
      <c r="G273" s="270" t="s">
        <v>210</v>
      </c>
      <c r="H273" s="279"/>
      <c r="I273" s="138"/>
      <c r="J273" s="138"/>
      <c r="K273" s="230"/>
      <c r="M273" s="640" t="b">
        <f>(Втулка!N29-Втулка!N30)/2&lt;=N273</f>
        <v>1</v>
      </c>
      <c r="N273" s="457">
        <v>75</v>
      </c>
      <c r="O273" s="644">
        <v>24</v>
      </c>
      <c r="AB273" s="258" t="str">
        <f t="shared" si="10"/>
        <v/>
      </c>
      <c r="AC273" s="259" t="str">
        <f>IF(COUNTIF(AD$78:AD273,AD273)=1,MAX(AC$78:AC272)+1,"")</f>
        <v/>
      </c>
      <c r="AD273" s="220">
        <f>'[2]Изложницы без бурта'!B273</f>
        <v>145</v>
      </c>
      <c r="AE273" s="220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595</v>
      </c>
      <c r="AM273" s="56">
        <f>'[2]Изложницы без бурта'!K273</f>
        <v>0</v>
      </c>
    </row>
    <row r="274" spans="1:39" ht="16.2" thickBot="1" x14ac:dyDescent="0.35">
      <c r="A274" s="283"/>
      <c r="B274" s="284"/>
      <c r="C274" s="284"/>
      <c r="D274" s="285">
        <f>D266*D268*D270*D272*D273/1000000</f>
        <v>0.76244999999999996</v>
      </c>
      <c r="E274" s="284"/>
      <c r="F274" s="286">
        <f>F266*F268*F270*F273/1000000</f>
        <v>29.589655389768001</v>
      </c>
      <c r="G274" s="285">
        <f>F274/360*G272</f>
        <v>22.192241542325998</v>
      </c>
      <c r="H274" s="287">
        <f>B269+D274+G274</f>
        <v>58.884300710375996</v>
      </c>
      <c r="I274" s="288"/>
      <c r="J274" s="138"/>
      <c r="K274" s="230"/>
      <c r="M274" s="640" t="b">
        <f>(Втулка!N30-Втулка!N31)/2&lt;=N274</f>
        <v>1</v>
      </c>
      <c r="N274" s="457">
        <v>80</v>
      </c>
      <c r="O274" s="644">
        <v>26</v>
      </c>
      <c r="AB274" s="258" t="str">
        <f t="shared" si="10"/>
        <v/>
      </c>
      <c r="AC274" s="259">
        <f>IF(COUNTIF(AD$78:AD274,AD274)=1,MAX(AC$78:AC273)+1,"")</f>
        <v>25</v>
      </c>
      <c r="AD274" s="220">
        <f>'[2]Изложницы без бурта'!B274</f>
        <v>147.5</v>
      </c>
      <c r="AE274" s="220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596</v>
      </c>
      <c r="AM274" s="56">
        <f>'[2]Изложницы без бурта'!K274</f>
        <v>0</v>
      </c>
    </row>
    <row r="275" spans="1:39" ht="15.6" x14ac:dyDescent="0.3">
      <c r="A275" s="228"/>
      <c r="B275" s="1309"/>
      <c r="C275" s="138"/>
      <c r="D275" s="138"/>
      <c r="E275" s="138"/>
      <c r="F275" s="138"/>
      <c r="G275" s="138"/>
      <c r="H275" s="138"/>
      <c r="I275" s="138"/>
      <c r="J275" s="138"/>
      <c r="K275" s="230"/>
      <c r="M275" s="640" t="b">
        <f>(Втулка!N31-Втулка!N32)/2&lt;=N275</f>
        <v>1</v>
      </c>
      <c r="N275" s="457">
        <v>85</v>
      </c>
      <c r="O275" s="644">
        <v>26</v>
      </c>
      <c r="AB275" s="258" t="str">
        <f t="shared" si="10"/>
        <v/>
      </c>
      <c r="AC275" s="259" t="str">
        <f>IF(COUNTIF(AD$78:AD275,AD275)=1,MAX(AC$78:AC274)+1,"")</f>
        <v/>
      </c>
      <c r="AD275" s="220">
        <f>'[2]Изложницы без бурта'!B275</f>
        <v>147.5</v>
      </c>
      <c r="AE275" s="220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596</v>
      </c>
      <c r="AM275" s="56">
        <f>'[2]Изложницы без бурта'!K275</f>
        <v>0</v>
      </c>
    </row>
    <row r="276" spans="1:39" ht="16.2" thickBot="1" x14ac:dyDescent="0.35">
      <c r="A276" s="228" t="s">
        <v>211</v>
      </c>
      <c r="B276" s="1309"/>
      <c r="C276" s="138"/>
      <c r="D276" s="138"/>
      <c r="E276" s="138"/>
      <c r="F276" s="138"/>
      <c r="G276" s="138"/>
      <c r="H276" s="138"/>
      <c r="I276" s="138"/>
      <c r="J276" s="138"/>
      <c r="K276" s="230"/>
      <c r="M276" s="640" t="b">
        <f>(Втулка!N32-Втулка!N33)/2&lt;=N276</f>
        <v>1</v>
      </c>
      <c r="N276" s="457">
        <v>90</v>
      </c>
      <c r="O276" s="644">
        <v>28</v>
      </c>
      <c r="AB276" s="258" t="str">
        <f t="shared" si="10"/>
        <v/>
      </c>
      <c r="AC276" s="259" t="str">
        <f>IF(COUNTIF(AD$78:AD276,AD276)=1,MAX(AC$78:AC275)+1,"")</f>
        <v/>
      </c>
      <c r="AD276" s="220">
        <f>'[2]Изложницы без бурта'!B276</f>
        <v>147.5</v>
      </c>
      <c r="AE276" s="220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596</v>
      </c>
      <c r="AM276" s="56">
        <f>'[2]Изложницы без бурта'!K276</f>
        <v>0</v>
      </c>
    </row>
    <row r="277" spans="1:39" ht="15.6" x14ac:dyDescent="0.3">
      <c r="A277" s="262" t="s">
        <v>201</v>
      </c>
      <c r="B277" s="263"/>
      <c r="C277" s="264" t="s">
        <v>202</v>
      </c>
      <c r="D277" s="263"/>
      <c r="E277" s="264" t="s">
        <v>150</v>
      </c>
      <c r="F277" s="265"/>
      <c r="G277" s="263"/>
      <c r="H277" s="289" t="s">
        <v>187</v>
      </c>
      <c r="I277" s="266" t="s">
        <v>203</v>
      </c>
      <c r="J277" s="138"/>
      <c r="K277" s="230"/>
      <c r="M277" s="640" t="b">
        <f>(Втулка!N33-Втулка!N34)/2&lt;=N277</f>
        <v>1</v>
      </c>
      <c r="N277" s="457">
        <v>95</v>
      </c>
      <c r="O277" s="644">
        <v>28</v>
      </c>
      <c r="AB277" s="258" t="str">
        <f t="shared" si="10"/>
        <v/>
      </c>
      <c r="AC277" s="259" t="str">
        <f>IF(COUNTIF(AD$78:AD277,AD277)=1,MAX(AC$78:AC276)+1,"")</f>
        <v/>
      </c>
      <c r="AD277" s="220">
        <f>'[2]Изложницы без бурта'!B277</f>
        <v>147.5</v>
      </c>
      <c r="AE277" s="220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596</v>
      </c>
      <c r="AM277" s="56">
        <f>'[2]Изложницы без бурта'!K277</f>
        <v>0</v>
      </c>
    </row>
    <row r="278" spans="1:39" ht="16.2" thickBot="1" x14ac:dyDescent="0.35">
      <c r="A278" s="1140" t="s">
        <v>204</v>
      </c>
      <c r="B278" s="269"/>
      <c r="C278" s="270" t="s">
        <v>151</v>
      </c>
      <c r="D278" s="270"/>
      <c r="E278" s="270" t="s">
        <v>179</v>
      </c>
      <c r="F278" s="271"/>
      <c r="G278" s="270"/>
      <c r="H278" s="290" t="s">
        <v>180</v>
      </c>
      <c r="I278" s="291"/>
      <c r="J278" s="138"/>
      <c r="K278" s="230"/>
      <c r="M278" s="640" t="b">
        <f>(Втулка!N34-Втулка!N35)/2&lt;=N278</f>
        <v>1</v>
      </c>
      <c r="N278" s="457">
        <v>100</v>
      </c>
      <c r="O278" s="644">
        <v>30</v>
      </c>
      <c r="AB278" s="258" t="str">
        <f t="shared" si="10"/>
        <v/>
      </c>
      <c r="AC278" s="259" t="str">
        <f>IF(COUNTIF(AD$78:AD278,AD278)=1,MAX(AC$78:AC277)+1,"")</f>
        <v/>
      </c>
      <c r="AD278" s="220">
        <f>'[2]Изложницы без бурта'!B278</f>
        <v>147.5</v>
      </c>
      <c r="AE278" s="220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596</v>
      </c>
      <c r="AM278" s="56">
        <f>'[2]Изложницы без бурта'!K278</f>
        <v>0</v>
      </c>
    </row>
    <row r="279" spans="1:39" ht="15.6" x14ac:dyDescent="0.3">
      <c r="A279" s="1141" t="e">
        <f>VLOOKUP(B257,A74:K78,6,FALSE)</f>
        <v>#N/A</v>
      </c>
      <c r="B279" s="1138" t="e">
        <f>IF(A280=0,A279,A280)</f>
        <v>#N/A</v>
      </c>
      <c r="C279" s="275" t="e">
        <f>VLOOKUP(B257,A74:K78,3,FALSE)</f>
        <v>#N/A</v>
      </c>
      <c r="D279" s="271"/>
      <c r="E279" s="275" t="e">
        <f>VLOOKUP(B257,A74:K78,7,FALSE)</f>
        <v>#N/A</v>
      </c>
      <c r="F279" s="271"/>
      <c r="G279" s="270"/>
      <c r="H279" s="292" t="e">
        <f>VLOOKUP(B257,A74:K78,10,FALSE)</f>
        <v>#N/A</v>
      </c>
      <c r="I279" s="291"/>
      <c r="J279" s="138"/>
      <c r="K279" s="230"/>
      <c r="M279" s="640" t="b">
        <f>(Втулка!N35-Втулка!N36)/2&lt;=N279</f>
        <v>1</v>
      </c>
      <c r="N279" s="457">
        <v>105</v>
      </c>
      <c r="O279" s="644">
        <v>30</v>
      </c>
      <c r="AB279" s="258" t="str">
        <f t="shared" ref="AB279:AB309" si="13">IF(MAX(AC279:AC1356)&lt;ROW(201:201),"",VLOOKUP(ROW(201:201),AC279:AD1356,2))</f>
        <v/>
      </c>
      <c r="AC279" s="259" t="str">
        <f>IF(COUNTIF(AD$78:AD279,AD279)=1,MAX(AC$78:AC278)+1,"")</f>
        <v/>
      </c>
      <c r="AD279" s="220">
        <f>'[2]Изложницы без бурта'!B279</f>
        <v>147.5</v>
      </c>
      <c r="AE279" s="220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596</v>
      </c>
      <c r="AM279" s="56">
        <f>'[2]Изложницы без бурта'!K279</f>
        <v>0</v>
      </c>
    </row>
    <row r="280" spans="1:39" ht="16.2" thickBot="1" x14ac:dyDescent="0.35">
      <c r="A280" s="1142"/>
      <c r="B280" s="1139"/>
      <c r="C280" s="270" t="s">
        <v>152</v>
      </c>
      <c r="D280" s="270"/>
      <c r="E280" s="270" t="s">
        <v>180</v>
      </c>
      <c r="F280" s="271"/>
      <c r="G280" s="270"/>
      <c r="H280" s="290" t="s">
        <v>153</v>
      </c>
      <c r="I280" s="291"/>
      <c r="J280" s="138"/>
      <c r="K280" s="230"/>
      <c r="M280" s="640" t="b">
        <f>(Втулка!N36-N260)/2&lt;=N280</f>
        <v>1</v>
      </c>
      <c r="N280" s="457">
        <v>110</v>
      </c>
      <c r="O280" s="644">
        <v>32</v>
      </c>
      <c r="AB280" s="258" t="str">
        <f t="shared" si="13"/>
        <v/>
      </c>
      <c r="AC280" s="259" t="str">
        <f>IF(COUNTIF(AD$78:AD280,AD280)=1,MAX(AC$78:AC279)+1,"")</f>
        <v/>
      </c>
      <c r="AD280" s="220">
        <f>'[2]Изложницы без бурта'!B280</f>
        <v>147.5</v>
      </c>
      <c r="AE280" s="220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596</v>
      </c>
      <c r="AM280" s="56">
        <f>'[2]Изложницы без бурта'!K280</f>
        <v>0</v>
      </c>
    </row>
    <row r="281" spans="1:39" ht="16.2" thickBot="1" x14ac:dyDescent="0.35">
      <c r="A281" s="1144" t="s">
        <v>89</v>
      </c>
      <c r="B281" s="269"/>
      <c r="C281" s="275" t="e">
        <f>VLOOKUP(B257,A74:K78,4,FALSE)</f>
        <v>#N/A</v>
      </c>
      <c r="D281" s="277" t="e">
        <f>(C279+C281)/2</f>
        <v>#N/A</v>
      </c>
      <c r="E281" s="275" t="e">
        <f>VLOOKUP(B257,A74:K78,8,FALSE)</f>
        <v>#N/A</v>
      </c>
      <c r="F281" s="270" t="e">
        <f>(E279+E281)/2</f>
        <v>#N/A</v>
      </c>
      <c r="G281" s="271"/>
      <c r="H281" s="292" t="e">
        <f>VLOOKUP(B257,A74:K78,11,FALSE)</f>
        <v>#N/A</v>
      </c>
      <c r="I281" s="291"/>
      <c r="J281" s="138"/>
      <c r="K281" s="230"/>
      <c r="M281" s="640" t="b">
        <f>(N260-N261)/2&lt;=N281</f>
        <v>1</v>
      </c>
      <c r="N281" s="457">
        <v>115</v>
      </c>
      <c r="O281" s="644">
        <v>32</v>
      </c>
      <c r="AB281" s="258" t="str">
        <f t="shared" si="13"/>
        <v/>
      </c>
      <c r="AC281" s="259" t="str">
        <f>IF(COUNTIF(AD$78:AD281,AD281)=1,MAX(AC$78:AC280)+1,"")</f>
        <v/>
      </c>
      <c r="AD281" s="220">
        <f>'[2]Изложницы без бурта'!B281</f>
        <v>147.5</v>
      </c>
      <c r="AE281" s="220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596</v>
      </c>
      <c r="AM281" s="56">
        <f>'[2]Изложницы без бурта'!K281</f>
        <v>0</v>
      </c>
    </row>
    <row r="282" spans="1:39" ht="15.6" x14ac:dyDescent="0.3">
      <c r="A282" s="1141">
        <f>'Втулка с буртом'!M7+'Втулка с буртом'!M11</f>
        <v>1495</v>
      </c>
      <c r="B282" s="1138">
        <f>IF(A283=0,A282,A283)</f>
        <v>1495</v>
      </c>
      <c r="C282" s="270" t="s">
        <v>153</v>
      </c>
      <c r="D282" s="270"/>
      <c r="E282" s="270" t="s">
        <v>205</v>
      </c>
      <c r="F282" s="270"/>
      <c r="G282" s="271"/>
      <c r="H282" s="293" t="s">
        <v>220</v>
      </c>
      <c r="I282" s="291"/>
      <c r="J282" s="138"/>
      <c r="K282" s="230"/>
      <c r="M282" s="640" t="b">
        <f>(N261-N262)/2&lt;=N282</f>
        <v>1</v>
      </c>
      <c r="N282" s="457">
        <v>120</v>
      </c>
      <c r="O282" s="644">
        <v>34</v>
      </c>
      <c r="AB282" s="258" t="str">
        <f t="shared" ref="AB282:AB306" si="14">IF(MAX(AC282:AC1359)&lt;ROW(204:204),"",VLOOKUP(ROW(204:204),AC282:AD1359,2))</f>
        <v/>
      </c>
      <c r="AC282" s="259" t="str">
        <f>IF(COUNTIF(AD$78:AD282,AD282)=1,MAX(AC$78:AC281)+1,"")</f>
        <v/>
      </c>
      <c r="AD282" s="220">
        <f>'[2]Изложницы без бурта'!B282</f>
        <v>147.5</v>
      </c>
      <c r="AE282" s="220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596</v>
      </c>
      <c r="AM282" s="56">
        <f>'[2]Изложницы без бурта'!K282</f>
        <v>0</v>
      </c>
    </row>
    <row r="283" spans="1:39" ht="16.2" thickBot="1" x14ac:dyDescent="0.35">
      <c r="A283" s="1142"/>
      <c r="B283" s="1143">
        <f>'Втулка с буртом'!M8</f>
        <v>8.5</v>
      </c>
      <c r="C283" s="275" t="e">
        <f>VLOOKUP(B257,A74:K78,5,FALSE)</f>
        <v>#N/A</v>
      </c>
      <c r="D283" s="277" t="e">
        <f>C283</f>
        <v>#N/A</v>
      </c>
      <c r="E283" s="275" t="e">
        <f>VLOOKUP(B257,A74:K78,9,FALSE)</f>
        <v>#N/A</v>
      </c>
      <c r="F283" s="270" t="e">
        <f>E283</f>
        <v>#N/A</v>
      </c>
      <c r="G283" s="271"/>
      <c r="H283" s="271" t="e">
        <f>(H279*H279*3.1415926*H281*B283/4000000)*2</f>
        <v>#N/A</v>
      </c>
      <c r="I283" s="291"/>
      <c r="J283" s="138"/>
      <c r="K283" s="230"/>
      <c r="M283" s="640" t="b">
        <f>(N262-N263)/2&lt;=N283</f>
        <v>1</v>
      </c>
      <c r="N283" s="457">
        <v>125</v>
      </c>
      <c r="O283" s="644">
        <v>34</v>
      </c>
      <c r="AB283" s="258" t="str">
        <f t="shared" si="14"/>
        <v/>
      </c>
      <c r="AC283" s="259" t="str">
        <f>IF(COUNTIF(AD$78:AD283,AD283)=1,MAX(AC$78:AC282)+1,"")</f>
        <v/>
      </c>
      <c r="AD283" s="220">
        <f>'[2]Изложницы без бурта'!B283</f>
        <v>147.5</v>
      </c>
      <c r="AE283" s="220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596</v>
      </c>
      <c r="AM283" s="56">
        <f>'[2]Изложницы без бурта'!K283</f>
        <v>0</v>
      </c>
    </row>
    <row r="284" spans="1:39" ht="15.6" x14ac:dyDescent="0.3">
      <c r="A284" s="1145"/>
      <c r="B284" s="280" t="e">
        <f>B279*B279*3.1415926*B282*B283/4000000</f>
        <v>#N/A</v>
      </c>
      <c r="C284" s="281" t="s">
        <v>89</v>
      </c>
      <c r="D284" s="270"/>
      <c r="E284" s="281" t="s">
        <v>206</v>
      </c>
      <c r="F284" s="270"/>
      <c r="G284" s="271"/>
      <c r="H284" s="271"/>
      <c r="I284" s="291"/>
      <c r="J284" s="138"/>
      <c r="K284" s="230"/>
      <c r="M284" s="640" t="b">
        <f>(N263-N264)/2&lt;=N284</f>
        <v>1</v>
      </c>
      <c r="N284" s="457">
        <v>130</v>
      </c>
      <c r="O284" s="644">
        <v>36</v>
      </c>
      <c r="AB284" s="258" t="str">
        <f t="shared" si="14"/>
        <v/>
      </c>
      <c r="AC284" s="259">
        <f>IF(COUNTIF(AD$78:AD284,AD284)=1,MAX(AC$78:AC283)+1,"")</f>
        <v>26</v>
      </c>
      <c r="AD284" s="220">
        <f>'[2]Изложницы без бурта'!B284</f>
        <v>150</v>
      </c>
      <c r="AE284" s="220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597</v>
      </c>
      <c r="AM284" s="56">
        <f>'[2]Изложницы без бурта'!K284</f>
        <v>0</v>
      </c>
    </row>
    <row r="285" spans="1:39" ht="15.6" x14ac:dyDescent="0.3">
      <c r="A285" s="276"/>
      <c r="B285" s="270"/>
      <c r="C285" s="275">
        <v>50</v>
      </c>
      <c r="D285" s="277">
        <f>C285</f>
        <v>50</v>
      </c>
      <c r="E285" s="275">
        <f>'Втулка с буртом'!M4</f>
        <v>940</v>
      </c>
      <c r="F285" s="282" t="e">
        <f>2*3.1415926*E288/2</f>
        <v>#N/A</v>
      </c>
      <c r="G285" s="271"/>
      <c r="H285" s="271"/>
      <c r="I285" s="291"/>
      <c r="J285" s="138"/>
      <c r="K285" s="230"/>
      <c r="M285" s="640" t="b">
        <f>(N264-N265)/2&lt;=N285</f>
        <v>1</v>
      </c>
      <c r="N285" s="457">
        <v>135</v>
      </c>
      <c r="O285" s="644">
        <v>6</v>
      </c>
      <c r="AB285" s="258" t="str">
        <f t="shared" si="14"/>
        <v/>
      </c>
      <c r="AC285" s="259" t="str">
        <f>IF(COUNTIF(AD$78:AD285,AD285)=1,MAX(AC$78:AC284)+1,"")</f>
        <v/>
      </c>
      <c r="AD285" s="220">
        <f>'[2]Изложницы без бурта'!B285</f>
        <v>150</v>
      </c>
      <c r="AE285" s="220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597</v>
      </c>
      <c r="AM285" s="56">
        <f>'[2]Изложницы без бурта'!K285</f>
        <v>0</v>
      </c>
    </row>
    <row r="286" spans="1:39" ht="15.6" x14ac:dyDescent="0.3">
      <c r="A286" s="276"/>
      <c r="B286" s="271"/>
      <c r="C286" s="281" t="s">
        <v>175</v>
      </c>
      <c r="D286" s="270"/>
      <c r="E286" s="281" t="s">
        <v>207</v>
      </c>
      <c r="F286" s="270"/>
      <c r="G286" s="281" t="s">
        <v>208</v>
      </c>
      <c r="H286" s="271"/>
      <c r="I286" s="291"/>
      <c r="J286" s="138"/>
      <c r="K286" s="230"/>
      <c r="M286" s="640" t="b">
        <f>(N265-N266)/2&lt;=N286</f>
        <v>1</v>
      </c>
      <c r="N286" s="457">
        <v>140</v>
      </c>
      <c r="O286" s="644">
        <v>38</v>
      </c>
      <c r="AB286" s="258" t="str">
        <f t="shared" si="14"/>
        <v/>
      </c>
      <c r="AC286" s="259" t="str">
        <f>IF(COUNTIF(AD$78:AD286,AD286)=1,MAX(AC$78:AC285)+1,"")</f>
        <v/>
      </c>
      <c r="AD286" s="220">
        <f>'[2]Изложницы без бурта'!B286</f>
        <v>150</v>
      </c>
      <c r="AE286" s="220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597</v>
      </c>
      <c r="AM286" s="56">
        <f>'[2]Изложницы без бурта'!K286</f>
        <v>0</v>
      </c>
    </row>
    <row r="287" spans="1:39" ht="15.6" x14ac:dyDescent="0.3">
      <c r="A287" s="276"/>
      <c r="B287" s="271"/>
      <c r="C287" s="275" t="e">
        <f>VLOOKUP(B257,A74:K78,2,FALSE)</f>
        <v>#N/A</v>
      </c>
      <c r="D287" s="277" t="e">
        <f>C287</f>
        <v>#N/A</v>
      </c>
      <c r="E287" s="281" t="s">
        <v>209</v>
      </c>
      <c r="F287" s="270"/>
      <c r="G287" s="275">
        <v>210</v>
      </c>
      <c r="H287" s="271"/>
      <c r="I287" s="291"/>
      <c r="J287" s="138"/>
      <c r="K287" s="230"/>
      <c r="M287" s="640" t="b">
        <f>(N266-N267)/2&lt;=N287</f>
        <v>1</v>
      </c>
      <c r="N287" s="457">
        <v>145</v>
      </c>
      <c r="O287" s="644">
        <v>38</v>
      </c>
      <c r="AB287" s="258" t="str">
        <f t="shared" si="14"/>
        <v/>
      </c>
      <c r="AC287" s="259" t="str">
        <f>IF(COUNTIF(AD$78:AD287,AD287)=1,MAX(AC$78:AC286)+1,"")</f>
        <v/>
      </c>
      <c r="AD287" s="220">
        <f>'[2]Изложницы без бурта'!B287</f>
        <v>150</v>
      </c>
      <c r="AE287" s="220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597</v>
      </c>
      <c r="AM287" s="56">
        <f>'[2]Изложницы без бурта'!K287</f>
        <v>0</v>
      </c>
    </row>
    <row r="288" spans="1:39" ht="15.6" x14ac:dyDescent="0.3">
      <c r="A288" s="276"/>
      <c r="B288" s="271"/>
      <c r="C288" s="271"/>
      <c r="D288" s="278">
        <f>B283</f>
        <v>8.5</v>
      </c>
      <c r="E288" s="270" t="e">
        <f>E285+C285+E283</f>
        <v>#N/A</v>
      </c>
      <c r="F288" s="278">
        <f>B283</f>
        <v>8.5</v>
      </c>
      <c r="G288" s="270" t="s">
        <v>210</v>
      </c>
      <c r="H288" s="271"/>
      <c r="I288" s="291"/>
      <c r="J288" s="138"/>
      <c r="K288" s="230"/>
      <c r="M288" s="640" t="b">
        <f>(N267-N268)/2&lt;=N288</f>
        <v>1</v>
      </c>
      <c r="N288" s="457">
        <v>150</v>
      </c>
      <c r="O288" s="644">
        <v>40</v>
      </c>
      <c r="AB288" s="258" t="str">
        <f t="shared" si="14"/>
        <v/>
      </c>
      <c r="AC288" s="259" t="str">
        <f>IF(COUNTIF(AD$78:AD288,AD288)=1,MAX(AC$78:AC287)+1,"")</f>
        <v/>
      </c>
      <c r="AD288" s="220">
        <f>'[2]Изложницы без бурта'!B288</f>
        <v>150</v>
      </c>
      <c r="AE288" s="220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597</v>
      </c>
      <c r="AM288" s="56">
        <f>'[2]Изложницы без бурта'!K288</f>
        <v>0</v>
      </c>
    </row>
    <row r="289" spans="1:39" ht="16.2" thickBot="1" x14ac:dyDescent="0.35">
      <c r="A289" s="283"/>
      <c r="B289" s="284"/>
      <c r="C289" s="284"/>
      <c r="D289" s="285" t="e">
        <f>D281*D283*D285*D287*D288/1000000</f>
        <v>#N/A</v>
      </c>
      <c r="E289" s="284"/>
      <c r="F289" s="286" t="e">
        <f>F281*F283*F285*F288/1000000</f>
        <v>#N/A</v>
      </c>
      <c r="G289" s="285" t="e">
        <f>F289/360*G287</f>
        <v>#N/A</v>
      </c>
      <c r="H289" s="294"/>
      <c r="I289" s="287" t="e">
        <f>B284+D289+G289+H283</f>
        <v>#N/A</v>
      </c>
      <c r="J289" s="138"/>
      <c r="K289" s="230"/>
      <c r="M289" s="640" t="b">
        <f>(N268-N269)/2&lt;=N289</f>
        <v>1</v>
      </c>
      <c r="N289" s="457">
        <v>155</v>
      </c>
      <c r="O289" s="644">
        <v>40</v>
      </c>
      <c r="AB289" s="258" t="str">
        <f t="shared" si="14"/>
        <v/>
      </c>
      <c r="AC289" s="259" t="str">
        <f>IF(COUNTIF(AD$78:AD289,AD289)=1,MAX(AC$78:AC288)+1,"")</f>
        <v/>
      </c>
      <c r="AD289" s="220">
        <f>'[2]Изложницы без бурта'!B289</f>
        <v>150</v>
      </c>
      <c r="AE289" s="220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597</v>
      </c>
      <c r="AM289" s="56">
        <f>'[2]Изложницы без бурта'!K289</f>
        <v>0</v>
      </c>
    </row>
    <row r="290" spans="1:39" ht="15.6" x14ac:dyDescent="0.3">
      <c r="A290" s="228"/>
      <c r="B290" s="1309"/>
      <c r="C290" s="138"/>
      <c r="D290" s="138"/>
      <c r="E290" s="138"/>
      <c r="F290" s="138"/>
      <c r="G290" s="138"/>
      <c r="H290" s="138"/>
      <c r="I290" s="138"/>
      <c r="J290" s="138"/>
      <c r="K290" s="230"/>
      <c r="M290" s="640" t="b">
        <f>(N269-N270)/2&lt;=N290</f>
        <v>1</v>
      </c>
      <c r="N290" s="457">
        <v>160</v>
      </c>
      <c r="O290" s="644">
        <v>40</v>
      </c>
      <c r="AB290" s="258" t="str">
        <f t="shared" si="14"/>
        <v/>
      </c>
      <c r="AC290" s="259" t="str">
        <f>IF(COUNTIF(AD$78:AD290,AD290)=1,MAX(AC$78:AC289)+1,"")</f>
        <v/>
      </c>
      <c r="AD290" s="220">
        <f>'[2]Изложницы без бурта'!B290</f>
        <v>150</v>
      </c>
      <c r="AE290" s="220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597</v>
      </c>
      <c r="AM290" s="56">
        <f>'[2]Изложницы без бурта'!K290</f>
        <v>0</v>
      </c>
    </row>
    <row r="291" spans="1:39" ht="16.2" thickBot="1" x14ac:dyDescent="0.35">
      <c r="A291" s="228" t="s">
        <v>214</v>
      </c>
      <c r="B291" s="1309"/>
      <c r="C291" s="138"/>
      <c r="D291" s="138"/>
      <c r="E291" s="138"/>
      <c r="F291" s="138"/>
      <c r="G291" s="138"/>
      <c r="H291" s="138"/>
      <c r="I291" s="239"/>
      <c r="J291" s="239"/>
      <c r="K291" s="230"/>
      <c r="M291" s="640" t="b">
        <f>(N270-N271)/2&lt;=N291</f>
        <v>1</v>
      </c>
      <c r="N291" s="457">
        <v>165</v>
      </c>
      <c r="O291" s="644">
        <v>40</v>
      </c>
      <c r="AB291" s="258" t="str">
        <f t="shared" si="14"/>
        <v/>
      </c>
      <c r="AC291" s="259" t="str">
        <f>IF(COUNTIF(AD$78:AD291,AD291)=1,MAX(AC$78:AC290)+1,"")</f>
        <v/>
      </c>
      <c r="AD291" s="220">
        <f>'[2]Изложницы без бурта'!B291</f>
        <v>150</v>
      </c>
      <c r="AE291" s="220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597</v>
      </c>
      <c r="AM291" s="56">
        <f>'[2]Изложницы без бурта'!K291</f>
        <v>0</v>
      </c>
    </row>
    <row r="292" spans="1:39" ht="15.6" x14ac:dyDescent="0.3">
      <c r="A292" s="262" t="s">
        <v>215</v>
      </c>
      <c r="B292" s="264"/>
      <c r="C292" s="264" t="s">
        <v>150</v>
      </c>
      <c r="D292" s="264"/>
      <c r="E292" s="264" t="s">
        <v>216</v>
      </c>
      <c r="F292" s="264"/>
      <c r="G292" s="295" t="s">
        <v>203</v>
      </c>
      <c r="H292" s="1285"/>
      <c r="I292" s="239"/>
      <c r="J292" s="239"/>
      <c r="K292" s="230"/>
      <c r="M292" s="640" t="b">
        <f>(N271-N272)/2&lt;=N292</f>
        <v>1</v>
      </c>
      <c r="N292" s="457">
        <v>170</v>
      </c>
      <c r="O292" s="644">
        <v>40</v>
      </c>
      <c r="AB292" s="258" t="str">
        <f t="shared" si="14"/>
        <v/>
      </c>
      <c r="AC292" s="259" t="str">
        <f>IF(COUNTIF(AD$78:AD292,AD292)=1,MAX(AC$78:AC291)+1,"")</f>
        <v/>
      </c>
      <c r="AD292" s="220">
        <f>'[2]Изложницы без бурта'!B292</f>
        <v>150</v>
      </c>
      <c r="AE292" s="220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597</v>
      </c>
      <c r="AM292" s="56">
        <f>'[2]Изложницы без бурта'!K292</f>
        <v>0</v>
      </c>
    </row>
    <row r="293" spans="1:39" ht="15.6" x14ac:dyDescent="0.3">
      <c r="A293" s="297" t="s">
        <v>217</v>
      </c>
      <c r="B293" s="298"/>
      <c r="C293" s="270" t="s">
        <v>179</v>
      </c>
      <c r="D293" s="298"/>
      <c r="E293" s="298" t="s">
        <v>151</v>
      </c>
      <c r="F293" s="298"/>
      <c r="G293" s="299"/>
      <c r="H293" s="1285"/>
      <c r="I293" s="239"/>
      <c r="J293" s="239"/>
      <c r="K293" s="230"/>
      <c r="M293" s="640" t="b">
        <f>(N272-N273)/2&lt;=N293</f>
        <v>1</v>
      </c>
      <c r="N293" s="457">
        <v>175</v>
      </c>
      <c r="O293" s="644">
        <v>40</v>
      </c>
      <c r="AB293" s="258" t="str">
        <f t="shared" si="14"/>
        <v/>
      </c>
      <c r="AC293" s="259" t="str">
        <f>IF(COUNTIF(AD$78:AD293,AD293)=1,MAX(AC$78:AC292)+1,"")</f>
        <v/>
      </c>
      <c r="AD293" s="220">
        <f>'[2]Изложницы без бурта'!B293</f>
        <v>150</v>
      </c>
      <c r="AE293" s="220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597</v>
      </c>
      <c r="AM293" s="56">
        <f>'[2]Изложницы без бурта'!K293</f>
        <v>0</v>
      </c>
    </row>
    <row r="294" spans="1:39" ht="15.6" x14ac:dyDescent="0.3">
      <c r="A294" s="300" t="e">
        <f>VLOOKUP(B257,B47:I55,5,FALSE)</f>
        <v>#N/A</v>
      </c>
      <c r="B294" s="298" t="e">
        <f>A294</f>
        <v>#N/A</v>
      </c>
      <c r="C294" s="275" t="e">
        <f>VLOOKUP(B257,B47:I55,2,FALSE)</f>
        <v>#N/A</v>
      </c>
      <c r="D294" s="298"/>
      <c r="E294" s="301" t="e">
        <f>VLOOKUP(B257,B47:I55,7,FALSE)</f>
        <v>#N/A</v>
      </c>
      <c r="F294" s="298"/>
      <c r="G294" s="299"/>
      <c r="H294" s="1285"/>
      <c r="I294" s="239"/>
      <c r="J294" s="239"/>
      <c r="K294" s="230"/>
      <c r="M294" s="640" t="b">
        <f>(N273-N274)/2&lt;=N294</f>
        <v>1</v>
      </c>
      <c r="N294" s="457">
        <v>180</v>
      </c>
      <c r="O294" s="644">
        <v>40</v>
      </c>
      <c r="AB294" s="258" t="str">
        <f t="shared" si="14"/>
        <v/>
      </c>
      <c r="AC294" s="259" t="str">
        <f>IF(COUNTIF(AD$78:AD294,AD294)=1,MAX(AC$78:AC293)+1,"")</f>
        <v/>
      </c>
      <c r="AD294" s="220">
        <f>'[2]Изложницы без бурта'!B294</f>
        <v>150</v>
      </c>
      <c r="AE294" s="220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597</v>
      </c>
      <c r="AM294" s="56">
        <f>'[2]Изложницы без бурта'!K294</f>
        <v>0</v>
      </c>
    </row>
    <row r="295" spans="1:39" ht="15.6" x14ac:dyDescent="0.3">
      <c r="A295" s="302"/>
      <c r="B295" s="298"/>
      <c r="C295" s="270" t="s">
        <v>180</v>
      </c>
      <c r="D295" s="298"/>
      <c r="E295" s="298" t="s">
        <v>152</v>
      </c>
      <c r="F295" s="298"/>
      <c r="G295" s="299"/>
      <c r="H295" s="1285"/>
      <c r="I295" s="239"/>
      <c r="J295" s="239"/>
      <c r="K295" s="230"/>
      <c r="M295" s="640" t="b">
        <f>(N274-N275)/2&lt;=N295</f>
        <v>1</v>
      </c>
      <c r="N295" s="457">
        <v>185</v>
      </c>
      <c r="O295" s="644">
        <v>40</v>
      </c>
      <c r="AB295" s="258" t="str">
        <f t="shared" si="14"/>
        <v/>
      </c>
      <c r="AC295" s="259">
        <f>IF(COUNTIF(AD$78:AD295,AD295)=1,MAX(AC$78:AC294)+1,"")</f>
        <v>27</v>
      </c>
      <c r="AD295" s="220">
        <f>'[2]Изложницы без бурта'!B295</f>
        <v>155</v>
      </c>
      <c r="AE295" s="220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598</v>
      </c>
      <c r="AM295" s="56">
        <f>'[2]Изложницы без бурта'!K295</f>
        <v>0</v>
      </c>
    </row>
    <row r="296" spans="1:39" ht="16.2" thickBot="1" x14ac:dyDescent="0.35">
      <c r="A296" s="297" t="s">
        <v>218</v>
      </c>
      <c r="B296" s="298"/>
      <c r="C296" s="275" t="e">
        <f>VLOOKUP(B257,B47:I55,3,FALSE)</f>
        <v>#N/A</v>
      </c>
      <c r="D296" s="298" t="e">
        <f>(C294+C296)/2</f>
        <v>#N/A</v>
      </c>
      <c r="E296" s="301" t="e">
        <f>VLOOKUP(B257,B47:I55,8,FALSE)</f>
        <v>#N/A</v>
      </c>
      <c r="F296" s="298"/>
      <c r="G296" s="299"/>
      <c r="H296" s="1285"/>
      <c r="I296" s="239"/>
      <c r="J296" s="239"/>
      <c r="K296" s="230"/>
      <c r="M296" s="658" t="b">
        <f>(N275-N276)/2&lt;=N296</f>
        <v>1</v>
      </c>
      <c r="N296" s="659">
        <v>190</v>
      </c>
      <c r="O296" s="687">
        <v>40</v>
      </c>
      <c r="AB296" s="258" t="str">
        <f t="shared" si="14"/>
        <v/>
      </c>
      <c r="AC296" s="259" t="str">
        <f>IF(COUNTIF(AD$78:AD296,AD296)=1,MAX(AC$78:AC295)+1,"")</f>
        <v/>
      </c>
      <c r="AD296" s="220">
        <f>'[2]Изложницы без бурта'!B296</f>
        <v>155</v>
      </c>
      <c r="AE296" s="220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598</v>
      </c>
      <c r="AM296" s="56">
        <f>'[2]Изложницы без бурта'!K296</f>
        <v>0</v>
      </c>
    </row>
    <row r="297" spans="1:39" ht="15" x14ac:dyDescent="0.25">
      <c r="A297" s="300" t="e">
        <f>VLOOKUP(B257,B47:I55,6,FALSE)</f>
        <v>#N/A</v>
      </c>
      <c r="B297" s="298" t="e">
        <f>A297</f>
        <v>#N/A</v>
      </c>
      <c r="C297" s="270" t="s">
        <v>205</v>
      </c>
      <c r="D297" s="298"/>
      <c r="E297" s="298" t="s">
        <v>153</v>
      </c>
      <c r="F297" s="298"/>
      <c r="G297" s="299"/>
      <c r="H297" s="1285"/>
      <c r="I297" s="239"/>
      <c r="J297" s="239"/>
      <c r="K297" s="230"/>
      <c r="AB297" s="258" t="str">
        <f t="shared" si="14"/>
        <v/>
      </c>
      <c r="AC297" s="259" t="str">
        <f>IF(COUNTIF(AD$78:AD297,AD297)=1,MAX(AC$78:AC296)+1,"")</f>
        <v/>
      </c>
      <c r="AD297" s="220">
        <f>'[2]Изложницы без бурта'!B297</f>
        <v>155</v>
      </c>
      <c r="AE297" s="220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598</v>
      </c>
      <c r="AM297" s="56">
        <f>'[2]Изложницы без бурта'!K297</f>
        <v>0</v>
      </c>
    </row>
    <row r="298" spans="1:39" ht="15" x14ac:dyDescent="0.25">
      <c r="A298" s="302"/>
      <c r="B298" s="298"/>
      <c r="C298" s="275" t="e">
        <f>VLOOKUP(B257,B47:I55,4,FALSE)</f>
        <v>#N/A</v>
      </c>
      <c r="D298" s="298" t="e">
        <f>C298</f>
        <v>#N/A</v>
      </c>
      <c r="E298" s="301">
        <f>B300</f>
        <v>1495</v>
      </c>
      <c r="F298" s="298"/>
      <c r="G298" s="299"/>
      <c r="H298" s="1285"/>
      <c r="I298" s="239"/>
      <c r="J298" s="239"/>
      <c r="K298" s="230"/>
      <c r="AB298" s="258" t="str">
        <f t="shared" si="14"/>
        <v/>
      </c>
      <c r="AC298" s="259" t="str">
        <f>IF(COUNTIF(AD$78:AD298,AD298)=1,MAX(AC$78:AC297)+1,"")</f>
        <v/>
      </c>
      <c r="AD298" s="220">
        <f>'[2]Изложницы без бурта'!B298</f>
        <v>155</v>
      </c>
      <c r="AE298" s="220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598</v>
      </c>
      <c r="AM298" s="56">
        <f>'[2]Изложницы без бурта'!K298</f>
        <v>0</v>
      </c>
    </row>
    <row r="299" spans="1:39" ht="14.4" x14ac:dyDescent="0.3">
      <c r="A299" s="303" t="s">
        <v>8</v>
      </c>
      <c r="B299" s="298"/>
      <c r="C299" s="281" t="s">
        <v>1103</v>
      </c>
      <c r="D299" s="298"/>
      <c r="E299" s="298"/>
      <c r="F299" s="298"/>
      <c r="G299" s="299"/>
      <c r="H299" s="1285"/>
      <c r="I299" s="239"/>
      <c r="J299" s="239"/>
      <c r="K299" s="230"/>
      <c r="AB299" s="258" t="str">
        <f t="shared" si="14"/>
        <v/>
      </c>
      <c r="AC299" s="259" t="str">
        <f>IF(COUNTIF(AD$78:AD299,AD299)=1,MAX(AC$78:AC298)+1,"")</f>
        <v/>
      </c>
      <c r="AD299" s="220">
        <f>'[2]Изложницы без бурта'!B299</f>
        <v>155</v>
      </c>
      <c r="AE299" s="220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598</v>
      </c>
      <c r="AM299" s="56">
        <f>'[2]Изложницы без бурта'!K299</f>
        <v>0</v>
      </c>
    </row>
    <row r="300" spans="1:39" ht="15.6" x14ac:dyDescent="0.3">
      <c r="A300" s="304">
        <f>'Втулка с буртом'!M7+'Втулка с буртом'!M11</f>
        <v>1495</v>
      </c>
      <c r="B300" s="298">
        <f>A300</f>
        <v>1495</v>
      </c>
      <c r="C300" s="275">
        <v>210</v>
      </c>
      <c r="D300" s="298" t="e">
        <f>2*3.1415926*C303/2</f>
        <v>#N/A</v>
      </c>
      <c r="E300" s="456">
        <f>B302</f>
        <v>1</v>
      </c>
      <c r="F300" s="298" t="e">
        <f>E294*E296*E298*B301*E300/1000000</f>
        <v>#N/A</v>
      </c>
      <c r="G300" s="299"/>
      <c r="H300" s="1285"/>
      <c r="I300" s="239"/>
      <c r="J300" s="239"/>
      <c r="K300" s="230"/>
      <c r="AB300" s="258" t="str">
        <f t="shared" si="14"/>
        <v/>
      </c>
      <c r="AC300" s="259" t="str">
        <f>IF(COUNTIF(AD$78:AD300,AD300)=1,MAX(AC$78:AC299)+1,"")</f>
        <v/>
      </c>
      <c r="AD300" s="220">
        <f>'[2]Изложницы без бурта'!B300</f>
        <v>155</v>
      </c>
      <c r="AE300" s="220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598</v>
      </c>
      <c r="AM300" s="56">
        <f>'[2]Изложницы без бурта'!K300</f>
        <v>0</v>
      </c>
    </row>
    <row r="301" spans="1:39" ht="15.6" x14ac:dyDescent="0.3">
      <c r="A301" s="302"/>
      <c r="B301" s="305">
        <f>'Втулка с буртом'!M8</f>
        <v>8.5</v>
      </c>
      <c r="C301" s="281" t="s">
        <v>207</v>
      </c>
      <c r="D301" s="298">
        <v>150</v>
      </c>
      <c r="E301" s="298"/>
      <c r="F301" s="298"/>
      <c r="G301" s="299"/>
      <c r="H301" s="1285"/>
      <c r="I301" s="239"/>
      <c r="J301" s="239"/>
      <c r="K301" s="230"/>
      <c r="AB301" s="258" t="str">
        <f t="shared" si="14"/>
        <v/>
      </c>
      <c r="AC301" s="259" t="str">
        <f>IF(COUNTIF(AD$78:AD301,AD301)=1,MAX(AC$78:AC300)+1,"")</f>
        <v/>
      </c>
      <c r="AD301" s="220">
        <f>'[2]Изложницы без бурта'!B301</f>
        <v>155</v>
      </c>
      <c r="AE301" s="220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598</v>
      </c>
      <c r="AM301" s="56">
        <f>'[2]Изложницы без бурта'!K301</f>
        <v>0</v>
      </c>
    </row>
    <row r="302" spans="1:39" ht="15.6" x14ac:dyDescent="0.3">
      <c r="A302" s="302"/>
      <c r="B302" s="306">
        <f>IF('Втулка с буртом'!M4&gt;1000,2,1)</f>
        <v>1</v>
      </c>
      <c r="C302" s="281" t="s">
        <v>209</v>
      </c>
      <c r="D302" s="298">
        <f>IF(B302=1,D301,D300)</f>
        <v>150</v>
      </c>
      <c r="E302" s="298"/>
      <c r="F302" s="298"/>
      <c r="G302" s="299"/>
      <c r="H302" s="1285"/>
      <c r="I302" s="239"/>
      <c r="J302" s="239"/>
      <c r="K302" s="230"/>
      <c r="AB302" s="258" t="str">
        <f t="shared" si="14"/>
        <v/>
      </c>
      <c r="AC302" s="259" t="str">
        <f>IF(COUNTIF(AD$78:AD302,AD302)=1,MAX(AC$78:AC301)+1,"")</f>
        <v/>
      </c>
      <c r="AD302" s="220">
        <f>'[2]Изложницы без бурта'!B302</f>
        <v>155</v>
      </c>
      <c r="AE302" s="220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598</v>
      </c>
      <c r="AM302" s="56">
        <f>'[2]Изложницы без бурта'!K302</f>
        <v>0</v>
      </c>
    </row>
    <row r="303" spans="1:39" ht="15.6" thickBot="1" x14ac:dyDescent="0.3">
      <c r="A303" s="307"/>
      <c r="B303" s="308" t="e">
        <f>B294*B294*3.1415926*B300*B301/4000000+(B297*B297*3.1415926*B300*B301*B302/4000000)</f>
        <v>#N/A</v>
      </c>
      <c r="C303" s="309" t="e">
        <f>C300+E296+B297</f>
        <v>#N/A</v>
      </c>
      <c r="D303" s="308" t="e">
        <f>D296*D298*D302*B301/1000000/360*180</f>
        <v>#N/A</v>
      </c>
      <c r="E303" s="308"/>
      <c r="F303" s="308"/>
      <c r="G303" s="310" t="e">
        <f>B303+D303+F300</f>
        <v>#N/A</v>
      </c>
      <c r="H303" s="1285"/>
      <c r="I303" s="239"/>
      <c r="J303" s="239"/>
      <c r="K303" s="230"/>
      <c r="AB303" s="258" t="str">
        <f t="shared" si="14"/>
        <v/>
      </c>
      <c r="AC303" s="259" t="str">
        <f>IF(COUNTIF(AD$78:AD303,AD303)=1,MAX(AC$78:AC302)+1,"")</f>
        <v/>
      </c>
      <c r="AD303" s="220">
        <f>'[2]Изложницы без бурта'!B303</f>
        <v>155</v>
      </c>
      <c r="AE303" s="220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598</v>
      </c>
      <c r="AM303" s="56">
        <f>'[2]Изложницы без бурта'!K303</f>
        <v>0</v>
      </c>
    </row>
    <row r="304" spans="1:39" ht="14.4" thickBot="1" x14ac:dyDescent="0.3">
      <c r="A304" s="892"/>
      <c r="B304" s="1311"/>
      <c r="C304" s="312"/>
      <c r="D304" s="312"/>
      <c r="E304" s="312"/>
      <c r="F304" s="312"/>
      <c r="G304" s="312"/>
      <c r="H304" s="312"/>
      <c r="I304" s="312"/>
      <c r="J304" s="312"/>
      <c r="K304" s="314"/>
      <c r="AB304" s="258" t="str">
        <f t="shared" si="14"/>
        <v/>
      </c>
      <c r="AC304" s="259">
        <f>IF(COUNTIF(AD$78:AD304,AD304)=1,MAX(AC$78:AC303)+1,"")</f>
        <v>28</v>
      </c>
      <c r="AD304" s="220">
        <f>'[2]Изложницы без бурта'!B304</f>
        <v>157.5</v>
      </c>
      <c r="AE304" s="220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599</v>
      </c>
      <c r="AM304" s="56">
        <f>'[2]Изложницы без бурта'!K304</f>
        <v>0</v>
      </c>
    </row>
    <row r="305" spans="1:39" x14ac:dyDescent="0.25">
      <c r="A305" s="316"/>
      <c r="B305" s="1274"/>
      <c r="AB305" s="258" t="str">
        <f t="shared" si="14"/>
        <v/>
      </c>
      <c r="AC305" s="259" t="str">
        <f>IF(COUNTIF(AD$78:AD305,AD305)=1,MAX(AC$78:AC304)+1,"")</f>
        <v/>
      </c>
      <c r="AD305" s="220">
        <f>'[2]Изложницы без бурта'!B305</f>
        <v>157.5</v>
      </c>
      <c r="AE305" s="220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599</v>
      </c>
      <c r="AM305" s="56">
        <f>'[2]Изложницы без бурта'!K305</f>
        <v>0</v>
      </c>
    </row>
    <row r="306" spans="1:39" x14ac:dyDescent="0.25">
      <c r="A306" s="316"/>
      <c r="B306" s="1274"/>
      <c r="AB306" s="258" t="str">
        <f t="shared" si="14"/>
        <v/>
      </c>
      <c r="AC306" s="259" t="str">
        <f>IF(COUNTIF(AD$78:AD306,AD306)=1,MAX(AC$78:AC305)+1,"")</f>
        <v/>
      </c>
      <c r="AD306" s="220">
        <f>'[2]Изложницы без бурта'!B306</f>
        <v>157.5</v>
      </c>
      <c r="AE306" s="220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599</v>
      </c>
      <c r="AM306" s="56">
        <f>'[2]Изложницы без бурта'!K306</f>
        <v>0</v>
      </c>
    </row>
    <row r="307" spans="1:39" x14ac:dyDescent="0.25">
      <c r="A307" s="316"/>
      <c r="B307" s="1274"/>
      <c r="AB307" s="258" t="str">
        <f t="shared" si="13"/>
        <v/>
      </c>
      <c r="AC307" s="259">
        <f>IF(COUNTIF(AD$78:AD307,AD307)=1,MAX(AC$78:AC306)+1,"")</f>
        <v>29</v>
      </c>
      <c r="AD307" s="220">
        <f>'[2]Изложницы без бурта'!B307</f>
        <v>160</v>
      </c>
      <c r="AE307" s="220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600</v>
      </c>
      <c r="AM307" s="56">
        <f>'[2]Изложницы без бурта'!K307</f>
        <v>0</v>
      </c>
    </row>
    <row r="308" spans="1:39" x14ac:dyDescent="0.25">
      <c r="A308" s="316"/>
      <c r="B308" s="1274"/>
      <c r="AB308" s="258" t="str">
        <f t="shared" si="13"/>
        <v/>
      </c>
      <c r="AC308" s="259" t="str">
        <f>IF(COUNTIF(AD$78:AD308,AD308)=1,MAX(AC$78:AC307)+1,"")</f>
        <v/>
      </c>
      <c r="AD308" s="220">
        <f>'[2]Изложницы без бурта'!B308</f>
        <v>160</v>
      </c>
      <c r="AE308" s="220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600</v>
      </c>
      <c r="AM308" s="56">
        <f>'[2]Изложницы без бурта'!K308</f>
        <v>0</v>
      </c>
    </row>
    <row r="309" spans="1:39" x14ac:dyDescent="0.25">
      <c r="A309" s="316"/>
      <c r="B309" s="1274"/>
      <c r="AB309" s="258" t="str">
        <f t="shared" si="13"/>
        <v/>
      </c>
      <c r="AC309" s="259" t="str">
        <f>IF(COUNTIF(AD$78:AD309,AD309)=1,MAX(AC$78:AC308)+1,"")</f>
        <v/>
      </c>
      <c r="AD309" s="220">
        <f>'[2]Изложницы без бурта'!B309</f>
        <v>160</v>
      </c>
      <c r="AE309" s="220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600</v>
      </c>
      <c r="AM309" s="56">
        <f>'[2]Изложницы без бурта'!K309</f>
        <v>0</v>
      </c>
    </row>
    <row r="310" spans="1:39" x14ac:dyDescent="0.25">
      <c r="A310" s="316"/>
      <c r="B310" s="1274"/>
      <c r="AB310" s="258" t="str">
        <f>IF(MAX(AC310:AC1387)&lt;ROW(232:232),"",VLOOKUP(ROW(232:232),AC310:AD1387,2))</f>
        <v/>
      </c>
      <c r="AC310" s="259" t="str">
        <f>IF(COUNTIF(AD$78:AD310,AD310)=1,MAX(AC$78:AC309)+1,"")</f>
        <v/>
      </c>
      <c r="AD310" s="220">
        <f>'[2]Изложницы без бурта'!B310</f>
        <v>160</v>
      </c>
      <c r="AE310" s="220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600</v>
      </c>
      <c r="AM310" s="56">
        <f>'[2]Изложницы без бурта'!K310</f>
        <v>0</v>
      </c>
    </row>
    <row r="311" spans="1:39" x14ac:dyDescent="0.25">
      <c r="A311" s="316"/>
      <c r="B311" s="1274"/>
      <c r="AB311" s="258" t="str">
        <f>IF(MAX(AC311:AC1388)&lt;ROW(233:233),"",VLOOKUP(ROW(233:233),AC311:AD1388,2))</f>
        <v/>
      </c>
      <c r="AC311" s="259" t="str">
        <f>IF(COUNTIF(AD$78:AD311,AD311)=1,MAX(AC$78:AC310)+1,"")</f>
        <v/>
      </c>
      <c r="AD311" s="220">
        <f>'[2]Изложницы без бурта'!B311</f>
        <v>160</v>
      </c>
      <c r="AE311" s="220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600</v>
      </c>
      <c r="AM311" s="56">
        <f>'[2]Изложницы без бурта'!K311</f>
        <v>0</v>
      </c>
    </row>
    <row r="312" spans="1:39" x14ac:dyDescent="0.25">
      <c r="A312" s="316"/>
      <c r="B312" s="1274"/>
      <c r="AB312" s="258" t="str">
        <f>IF(MAX(AC312:AC1389)&lt;ROW(234:234),"",VLOOKUP(ROW(234:234),AC312:AD1389,2))</f>
        <v/>
      </c>
      <c r="AC312" s="259" t="str">
        <f>IF(COUNTIF(AD$78:AD312,AD312)=1,MAX(AC$78:AC311)+1,"")</f>
        <v/>
      </c>
      <c r="AD312" s="220">
        <f>'[2]Изложницы без бурта'!B312</f>
        <v>160</v>
      </c>
      <c r="AE312" s="220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600</v>
      </c>
      <c r="AM312" s="56">
        <f>'[2]Изложницы без бурта'!K312</f>
        <v>0</v>
      </c>
    </row>
    <row r="313" spans="1:39" x14ac:dyDescent="0.25">
      <c r="A313" s="316"/>
      <c r="B313" s="1274"/>
      <c r="AB313" s="258" t="str">
        <f>IF(MAX(AC313:AC1390)&lt;ROW(235:235),"",VLOOKUP(ROW(235:235),AC313:AD1390,2))</f>
        <v/>
      </c>
      <c r="AC313" s="259">
        <f>IF(COUNTIF(AD$78:AD313,AD313)=1,MAX(AC$78:AC312)+1,"")</f>
        <v>30</v>
      </c>
      <c r="AD313" s="220">
        <f>'[2]Изложницы без бурта'!B313</f>
        <v>162.5</v>
      </c>
      <c r="AE313" s="220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601</v>
      </c>
      <c r="AM313" s="56">
        <f>'[2]Изложницы без бурта'!K313</f>
        <v>0</v>
      </c>
    </row>
    <row r="314" spans="1:39" x14ac:dyDescent="0.25">
      <c r="A314" s="316"/>
      <c r="B314" s="1274"/>
      <c r="AB314" s="258" t="str">
        <f t="shared" ref="AB314:AB376" si="15">IF(MAX(AC314:AC1391)&lt;ROW(236:236),"",VLOOKUP(ROW(236:236),AC314:AD1391,2))</f>
        <v/>
      </c>
      <c r="AC314" s="259" t="str">
        <f>IF(COUNTIF(AD$78:AD314,AD314)=1,MAX(AC$78:AC313)+1,"")</f>
        <v/>
      </c>
      <c r="AD314" s="220">
        <f>'[2]Изложницы без бурта'!B314</f>
        <v>162.5</v>
      </c>
      <c r="AE314" s="220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601</v>
      </c>
      <c r="AM314" s="56">
        <f>'[2]Изложницы без бурта'!K314</f>
        <v>0</v>
      </c>
    </row>
    <row r="315" spans="1:39" x14ac:dyDescent="0.25">
      <c r="A315" s="316"/>
      <c r="B315" s="1274"/>
      <c r="AB315" s="258" t="str">
        <f t="shared" si="15"/>
        <v/>
      </c>
      <c r="AC315" s="259" t="str">
        <f>IF(COUNTIF(AD$78:AD315,AD315)=1,MAX(AC$78:AC314)+1,"")</f>
        <v/>
      </c>
      <c r="AD315" s="220">
        <f>'[2]Изложницы без бурта'!B315</f>
        <v>162.5</v>
      </c>
      <c r="AE315" s="220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601</v>
      </c>
      <c r="AM315" s="56">
        <f>'[2]Изложницы без бурта'!K315</f>
        <v>0</v>
      </c>
    </row>
    <row r="316" spans="1:39" x14ac:dyDescent="0.25">
      <c r="A316" s="316"/>
      <c r="B316" s="1274"/>
      <c r="AB316" s="258" t="str">
        <f t="shared" si="15"/>
        <v/>
      </c>
      <c r="AC316" s="259" t="str">
        <f>IF(COUNTIF(AD$78:AD316,AD316)=1,MAX(AC$78:AC315)+1,"")</f>
        <v/>
      </c>
      <c r="AD316" s="220">
        <f>'[2]Изложницы без бурта'!B316</f>
        <v>162.5</v>
      </c>
      <c r="AE316" s="220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601</v>
      </c>
      <c r="AM316" s="56">
        <f>'[2]Изложницы без бурта'!K316</f>
        <v>0</v>
      </c>
    </row>
    <row r="317" spans="1:39" x14ac:dyDescent="0.25">
      <c r="A317" s="316"/>
      <c r="B317" s="1274"/>
      <c r="AB317" s="258" t="str">
        <f t="shared" si="15"/>
        <v/>
      </c>
      <c r="AC317" s="259" t="str">
        <f>IF(COUNTIF(AD$78:AD317,AD317)=1,MAX(AC$78:AC316)+1,"")</f>
        <v/>
      </c>
      <c r="AD317" s="220">
        <f>'[2]Изложницы без бурта'!B317</f>
        <v>162.5</v>
      </c>
      <c r="AE317" s="220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601</v>
      </c>
      <c r="AM317" s="56">
        <f>'[2]Изложницы без бурта'!K317</f>
        <v>0</v>
      </c>
    </row>
    <row r="318" spans="1:39" x14ac:dyDescent="0.25">
      <c r="A318" s="316"/>
      <c r="B318" s="1274"/>
      <c r="AB318" s="258" t="str">
        <f t="shared" si="15"/>
        <v/>
      </c>
      <c r="AC318" s="259">
        <f>IF(COUNTIF(AD$78:AD318,AD318)=1,MAX(AC$78:AC317)+1,"")</f>
        <v>31</v>
      </c>
      <c r="AD318" s="220">
        <f>'[2]Изложницы без бурта'!B318</f>
        <v>165</v>
      </c>
      <c r="AE318" s="220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602</v>
      </c>
      <c r="AM318" s="56">
        <f>'[2]Изложницы без бурта'!K318</f>
        <v>0</v>
      </c>
    </row>
    <row r="319" spans="1:39" x14ac:dyDescent="0.25">
      <c r="A319" s="316"/>
      <c r="B319" s="1274"/>
      <c r="AB319" s="258" t="str">
        <f t="shared" si="15"/>
        <v/>
      </c>
      <c r="AC319" s="259" t="str">
        <f>IF(COUNTIF(AD$78:AD319,AD319)=1,MAX(AC$78:AC318)+1,"")</f>
        <v/>
      </c>
      <c r="AD319" s="220">
        <f>'[2]Изложницы без бурта'!B319</f>
        <v>165</v>
      </c>
      <c r="AE319" s="220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602</v>
      </c>
      <c r="AM319" s="56">
        <f>'[2]Изложницы без бурта'!K319</f>
        <v>0</v>
      </c>
    </row>
    <row r="320" spans="1:39" x14ac:dyDescent="0.25">
      <c r="A320" s="316"/>
      <c r="B320" s="1274"/>
      <c r="AB320" s="258" t="str">
        <f t="shared" si="15"/>
        <v/>
      </c>
      <c r="AC320" s="259" t="str">
        <f>IF(COUNTIF(AD$78:AD320,AD320)=1,MAX(AC$78:AC319)+1,"")</f>
        <v/>
      </c>
      <c r="AD320" s="220">
        <f>'[2]Изложницы без бурта'!B320</f>
        <v>165</v>
      </c>
      <c r="AE320" s="220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602</v>
      </c>
      <c r="AM320" s="56">
        <f>'[2]Изложницы без бурта'!K320</f>
        <v>0</v>
      </c>
    </row>
    <row r="321" spans="1:39" x14ac:dyDescent="0.25">
      <c r="A321" s="316"/>
      <c r="B321" s="1274"/>
      <c r="AB321" s="258" t="str">
        <f t="shared" si="15"/>
        <v/>
      </c>
      <c r="AC321" s="259" t="str">
        <f>IF(COUNTIF(AD$78:AD321,AD321)=1,MAX(AC$78:AC320)+1,"")</f>
        <v/>
      </c>
      <c r="AD321" s="220">
        <f>'[2]Изложницы без бурта'!B321</f>
        <v>165</v>
      </c>
      <c r="AE321" s="220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602</v>
      </c>
      <c r="AM321" s="56">
        <f>'[2]Изложницы без бурта'!K321</f>
        <v>0</v>
      </c>
    </row>
    <row r="322" spans="1:39" x14ac:dyDescent="0.25">
      <c r="A322" s="316"/>
      <c r="B322" s="1274"/>
      <c r="AB322" s="258" t="str">
        <f t="shared" si="15"/>
        <v/>
      </c>
      <c r="AC322" s="259" t="str">
        <f>IF(COUNTIF(AD$78:AD322,AD322)=1,MAX(AC$78:AC321)+1,"")</f>
        <v/>
      </c>
      <c r="AD322" s="220">
        <f>'[2]Изложницы без бурта'!B322</f>
        <v>165</v>
      </c>
      <c r="AE322" s="220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602</v>
      </c>
      <c r="AM322" s="56">
        <f>'[2]Изложницы без бурта'!K322</f>
        <v>0</v>
      </c>
    </row>
    <row r="323" spans="1:39" x14ac:dyDescent="0.25">
      <c r="A323" s="316"/>
      <c r="B323" s="1274"/>
      <c r="AB323" s="258" t="str">
        <f t="shared" si="15"/>
        <v/>
      </c>
      <c r="AC323" s="259" t="str">
        <f>IF(COUNTIF(AD$78:AD323,AD323)=1,MAX(AC$78:AC322)+1,"")</f>
        <v/>
      </c>
      <c r="AD323" s="220">
        <f>'[2]Изложницы без бурта'!B323</f>
        <v>165</v>
      </c>
      <c r="AE323" s="220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602</v>
      </c>
      <c r="AM323" s="56">
        <f>'[2]Изложницы без бурта'!K323</f>
        <v>0</v>
      </c>
    </row>
    <row r="324" spans="1:39" x14ac:dyDescent="0.25">
      <c r="A324" s="316"/>
      <c r="B324" s="1274"/>
      <c r="AB324" s="258" t="str">
        <f t="shared" si="15"/>
        <v/>
      </c>
      <c r="AC324" s="259">
        <f>IF(COUNTIF(AD$78:AD324,AD324)=1,MAX(AC$78:AC323)+1,"")</f>
        <v>32</v>
      </c>
      <c r="AD324" s="220">
        <f>'[2]Изложницы без бурта'!B324</f>
        <v>167.5</v>
      </c>
      <c r="AE324" s="220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603</v>
      </c>
      <c r="AM324" s="56">
        <f>'[2]Изложницы без бурта'!K324</f>
        <v>0</v>
      </c>
    </row>
    <row r="325" spans="1:39" x14ac:dyDescent="0.25">
      <c r="A325" s="316"/>
      <c r="B325" s="1274"/>
      <c r="AB325" s="258" t="str">
        <f t="shared" si="15"/>
        <v/>
      </c>
      <c r="AC325" s="259" t="str">
        <f>IF(COUNTIF(AD$78:AD325,AD325)=1,MAX(AC$78:AC324)+1,"")</f>
        <v/>
      </c>
      <c r="AD325" s="220">
        <f>'[2]Изложницы без бурта'!B325</f>
        <v>167.5</v>
      </c>
      <c r="AE325" s="220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603</v>
      </c>
      <c r="AM325" s="56">
        <f>'[2]Изложницы без бурта'!K325</f>
        <v>0</v>
      </c>
    </row>
    <row r="326" spans="1:39" x14ac:dyDescent="0.25">
      <c r="A326" s="316"/>
      <c r="B326" s="1274"/>
      <c r="AB326" s="258" t="str">
        <f t="shared" si="15"/>
        <v/>
      </c>
      <c r="AC326" s="259" t="str">
        <f>IF(COUNTIF(AD$78:AD326,AD326)=1,MAX(AC$78:AC325)+1,"")</f>
        <v/>
      </c>
      <c r="AD326" s="220">
        <f>'[2]Изложницы без бурта'!B326</f>
        <v>167.5</v>
      </c>
      <c r="AE326" s="220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603</v>
      </c>
      <c r="AM326" s="56">
        <f>'[2]Изложницы без бурта'!K326</f>
        <v>0</v>
      </c>
    </row>
    <row r="327" spans="1:39" x14ac:dyDescent="0.25">
      <c r="A327" s="316"/>
      <c r="B327" s="1274"/>
      <c r="AB327" s="258" t="str">
        <f t="shared" si="15"/>
        <v/>
      </c>
      <c r="AC327" s="259" t="str">
        <f>IF(COUNTIF(AD$78:AD327,AD327)=1,MAX(AC$78:AC326)+1,"")</f>
        <v/>
      </c>
      <c r="AD327" s="220">
        <f>'[2]Изложницы без бурта'!B327</f>
        <v>167.5</v>
      </c>
      <c r="AE327" s="220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603</v>
      </c>
      <c r="AM327" s="56">
        <f>'[2]Изложницы без бурта'!K327</f>
        <v>0</v>
      </c>
    </row>
    <row r="328" spans="1:39" x14ac:dyDescent="0.25">
      <c r="A328" s="316"/>
      <c r="B328" s="1274"/>
      <c r="AB328" s="258" t="str">
        <f t="shared" si="15"/>
        <v/>
      </c>
      <c r="AC328" s="259" t="str">
        <f>IF(COUNTIF(AD$78:AD328,AD328)=1,MAX(AC$78:AC327)+1,"")</f>
        <v/>
      </c>
      <c r="AD328" s="220">
        <f>'[2]Изложницы без бурта'!B328</f>
        <v>167.5</v>
      </c>
      <c r="AE328" s="220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603</v>
      </c>
      <c r="AM328" s="56">
        <f>'[2]Изложницы без бурта'!K328</f>
        <v>0</v>
      </c>
    </row>
    <row r="329" spans="1:39" x14ac:dyDescent="0.25">
      <c r="A329" s="316"/>
      <c r="B329" s="1274"/>
      <c r="AB329" s="258" t="str">
        <f t="shared" si="15"/>
        <v/>
      </c>
      <c r="AC329" s="259" t="str">
        <f>IF(COUNTIF(AD$78:AD329,AD329)=1,MAX(AC$78:AC328)+1,"")</f>
        <v/>
      </c>
      <c r="AD329" s="220">
        <f>'[2]Изложницы без бурта'!B329</f>
        <v>167.5</v>
      </c>
      <c r="AE329" s="220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603</v>
      </c>
      <c r="AM329" s="56">
        <f>'[2]Изложницы без бурта'!K329</f>
        <v>0</v>
      </c>
    </row>
    <row r="330" spans="1:39" x14ac:dyDescent="0.25">
      <c r="A330" s="316"/>
      <c r="B330" s="1274"/>
      <c r="AB330" s="258" t="str">
        <f t="shared" si="15"/>
        <v/>
      </c>
      <c r="AC330" s="259" t="str">
        <f>IF(COUNTIF(AD$78:AD330,AD330)=1,MAX(AC$78:AC329)+1,"")</f>
        <v/>
      </c>
      <c r="AD330" s="220">
        <f>'[2]Изложницы без бурта'!B330</f>
        <v>167.5</v>
      </c>
      <c r="AE330" s="220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603</v>
      </c>
      <c r="AM330" s="56">
        <f>'[2]Изложницы без бурта'!K330</f>
        <v>0</v>
      </c>
    </row>
    <row r="331" spans="1:39" x14ac:dyDescent="0.25">
      <c r="A331" s="316"/>
      <c r="B331" s="1274"/>
      <c r="AB331" s="258" t="str">
        <f t="shared" si="15"/>
        <v/>
      </c>
      <c r="AC331" s="259" t="str">
        <f>IF(COUNTIF(AD$78:AD331,AD331)=1,MAX(AC$78:AC330)+1,"")</f>
        <v/>
      </c>
      <c r="AD331" s="220">
        <f>'[2]Изложницы без бурта'!B331</f>
        <v>167.5</v>
      </c>
      <c r="AE331" s="220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603</v>
      </c>
      <c r="AM331" s="56">
        <f>'[2]Изложницы без бурта'!K331</f>
        <v>0</v>
      </c>
    </row>
    <row r="332" spans="1:39" x14ac:dyDescent="0.25">
      <c r="A332" s="316"/>
      <c r="B332" s="1274"/>
      <c r="AB332" s="258" t="str">
        <f t="shared" si="15"/>
        <v/>
      </c>
      <c r="AC332" s="259">
        <f>IF(COUNTIF(AD$78:AD332,AD332)=1,MAX(AC$78:AC331)+1,"")</f>
        <v>33</v>
      </c>
      <c r="AD332" s="220">
        <f>'[2]Изложницы без бурта'!B332</f>
        <v>170</v>
      </c>
      <c r="AE332" s="220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604</v>
      </c>
      <c r="AM332" s="56">
        <f>'[2]Изложницы без бурта'!K332</f>
        <v>0</v>
      </c>
    </row>
    <row r="333" spans="1:39" x14ac:dyDescent="0.25">
      <c r="A333" s="316"/>
      <c r="B333" s="1274"/>
      <c r="AB333" s="258" t="str">
        <f t="shared" si="15"/>
        <v/>
      </c>
      <c r="AC333" s="259" t="str">
        <f>IF(COUNTIF(AD$78:AD333,AD333)=1,MAX(AC$78:AC332)+1,"")</f>
        <v/>
      </c>
      <c r="AD333" s="220">
        <f>'[2]Изложницы без бурта'!B333</f>
        <v>170</v>
      </c>
      <c r="AE333" s="220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604</v>
      </c>
      <c r="AM333" s="56">
        <f>'[2]Изложницы без бурта'!K333</f>
        <v>0</v>
      </c>
    </row>
    <row r="334" spans="1:39" x14ac:dyDescent="0.25">
      <c r="A334" s="316"/>
      <c r="B334" s="1274"/>
      <c r="AB334" s="258" t="str">
        <f t="shared" si="15"/>
        <v/>
      </c>
      <c r="AC334" s="259" t="str">
        <f>IF(COUNTIF(AD$78:AD334,AD334)=1,MAX(AC$78:AC333)+1,"")</f>
        <v/>
      </c>
      <c r="AD334" s="220">
        <f>'[2]Изложницы без бурта'!B334</f>
        <v>170</v>
      </c>
      <c r="AE334" s="220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604</v>
      </c>
      <c r="AM334" s="56">
        <f>'[2]Изложницы без бурта'!K334</f>
        <v>0</v>
      </c>
    </row>
    <row r="335" spans="1:39" x14ac:dyDescent="0.25">
      <c r="A335" s="316"/>
      <c r="B335" s="1274"/>
      <c r="AB335" s="258" t="str">
        <f t="shared" si="15"/>
        <v/>
      </c>
      <c r="AC335" s="259" t="str">
        <f>IF(COUNTIF(AD$78:AD335,AD335)=1,MAX(AC$78:AC334)+1,"")</f>
        <v/>
      </c>
      <c r="AD335" s="220">
        <f>'[2]Изложницы без бурта'!B335</f>
        <v>170</v>
      </c>
      <c r="AE335" s="220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604</v>
      </c>
      <c r="AM335" s="56">
        <f>'[2]Изложницы без бурта'!K335</f>
        <v>0</v>
      </c>
    </row>
    <row r="336" spans="1:39" x14ac:dyDescent="0.25">
      <c r="A336" s="316"/>
      <c r="B336" s="1274"/>
      <c r="AB336" s="258" t="str">
        <f t="shared" si="15"/>
        <v/>
      </c>
      <c r="AC336" s="259" t="str">
        <f>IF(COUNTIF(AD$78:AD336,AD336)=1,MAX(AC$78:AC335)+1,"")</f>
        <v/>
      </c>
      <c r="AD336" s="220">
        <f>'[2]Изложницы без бурта'!B336</f>
        <v>170</v>
      </c>
      <c r="AE336" s="220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604</v>
      </c>
      <c r="AM336" s="56">
        <f>'[2]Изложницы без бурта'!K336</f>
        <v>0</v>
      </c>
    </row>
    <row r="337" spans="1:39" x14ac:dyDescent="0.25">
      <c r="A337" s="316"/>
      <c r="B337" s="1274"/>
      <c r="AB337" s="258" t="str">
        <f t="shared" si="15"/>
        <v/>
      </c>
      <c r="AC337" s="259" t="str">
        <f>IF(COUNTIF(AD$78:AD337,AD337)=1,MAX(AC$78:AC336)+1,"")</f>
        <v/>
      </c>
      <c r="AD337" s="220">
        <f>'[2]Изложницы без бурта'!B337</f>
        <v>170</v>
      </c>
      <c r="AE337" s="220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604</v>
      </c>
      <c r="AM337" s="56">
        <f>'[2]Изложницы без бурта'!K337</f>
        <v>0</v>
      </c>
    </row>
    <row r="338" spans="1:39" x14ac:dyDescent="0.25">
      <c r="A338" s="316"/>
      <c r="B338" s="1274"/>
      <c r="AB338" s="258" t="str">
        <f t="shared" si="15"/>
        <v/>
      </c>
      <c r="AC338" s="259" t="str">
        <f>IF(COUNTIF(AD$78:AD338,AD338)=1,MAX(AC$78:AC337)+1,"")</f>
        <v/>
      </c>
      <c r="AD338" s="220">
        <f>'[2]Изложницы без бурта'!B338</f>
        <v>170</v>
      </c>
      <c r="AE338" s="220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604</v>
      </c>
      <c r="AM338" s="56">
        <f>'[2]Изложницы без бурта'!K338</f>
        <v>0</v>
      </c>
    </row>
    <row r="339" spans="1:39" x14ac:dyDescent="0.25">
      <c r="A339" s="316"/>
      <c r="B339" s="1274"/>
      <c r="AB339" s="258" t="str">
        <f t="shared" si="15"/>
        <v/>
      </c>
      <c r="AC339" s="259" t="str">
        <f>IF(COUNTIF(AD$78:AD339,AD339)=1,MAX(AC$78:AC338)+1,"")</f>
        <v/>
      </c>
      <c r="AD339" s="220">
        <f>'[2]Изложницы без бурта'!B339</f>
        <v>170</v>
      </c>
      <c r="AE339" s="220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604</v>
      </c>
      <c r="AM339" s="56">
        <f>'[2]Изложницы без бурта'!K339</f>
        <v>0</v>
      </c>
    </row>
    <row r="340" spans="1:39" x14ac:dyDescent="0.25">
      <c r="A340" s="316"/>
      <c r="B340" s="1274"/>
      <c r="AB340" s="258" t="str">
        <f t="shared" si="15"/>
        <v/>
      </c>
      <c r="AC340" s="259">
        <f>IF(COUNTIF(AD$78:AD340,AD340)=1,MAX(AC$78:AC339)+1,"")</f>
        <v>34</v>
      </c>
      <c r="AD340" s="220">
        <f>'[2]Изложницы без бурта'!B340</f>
        <v>172.5</v>
      </c>
      <c r="AE340" s="220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605</v>
      </c>
      <c r="AM340" s="56">
        <f>'[2]Изложницы без бурта'!K340</f>
        <v>0</v>
      </c>
    </row>
    <row r="341" spans="1:39" x14ac:dyDescent="0.25">
      <c r="A341" s="316"/>
      <c r="B341" s="1274"/>
      <c r="AB341" s="258" t="str">
        <f t="shared" si="15"/>
        <v/>
      </c>
      <c r="AC341" s="259" t="str">
        <f>IF(COUNTIF(AD$78:AD341,AD341)=1,MAX(AC$78:AC340)+1,"")</f>
        <v/>
      </c>
      <c r="AD341" s="220">
        <f>'[2]Изложницы без бурта'!B341</f>
        <v>172.5</v>
      </c>
      <c r="AE341" s="220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605</v>
      </c>
      <c r="AM341" s="56">
        <f>'[2]Изложницы без бурта'!K341</f>
        <v>0</v>
      </c>
    </row>
    <row r="342" spans="1:39" x14ac:dyDescent="0.25">
      <c r="A342" s="316"/>
      <c r="B342" s="1274"/>
      <c r="AB342" s="258" t="str">
        <f t="shared" si="15"/>
        <v/>
      </c>
      <c r="AC342" s="259" t="str">
        <f>IF(COUNTIF(AD$78:AD342,AD342)=1,MAX(AC$78:AC341)+1,"")</f>
        <v/>
      </c>
      <c r="AD342" s="220">
        <f>'[2]Изложницы без бурта'!B342</f>
        <v>172.5</v>
      </c>
      <c r="AE342" s="220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605</v>
      </c>
      <c r="AM342" s="56">
        <f>'[2]Изложницы без бурта'!K342</f>
        <v>0</v>
      </c>
    </row>
    <row r="343" spans="1:39" x14ac:dyDescent="0.25">
      <c r="A343" s="316"/>
      <c r="B343" s="1274"/>
      <c r="AB343" s="258" t="str">
        <f t="shared" si="15"/>
        <v/>
      </c>
      <c r="AC343" s="259" t="str">
        <f>IF(COUNTIF(AD$78:AD343,AD343)=1,MAX(AC$78:AC342)+1,"")</f>
        <v/>
      </c>
      <c r="AD343" s="220">
        <f>'[2]Изложницы без бурта'!B343</f>
        <v>172.5</v>
      </c>
      <c r="AE343" s="220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605</v>
      </c>
      <c r="AM343" s="56">
        <f>'[2]Изложницы без бурта'!K343</f>
        <v>0</v>
      </c>
    </row>
    <row r="344" spans="1:39" x14ac:dyDescent="0.25">
      <c r="A344" s="316"/>
      <c r="B344" s="1274"/>
      <c r="AB344" s="258" t="str">
        <f t="shared" si="15"/>
        <v/>
      </c>
      <c r="AC344" s="259">
        <f>IF(COUNTIF(AD$78:AD344,AD344)=1,MAX(AC$78:AC343)+1,"")</f>
        <v>35</v>
      </c>
      <c r="AD344" s="220">
        <f>'[2]Изложницы без бурта'!B344</f>
        <v>175</v>
      </c>
      <c r="AE344" s="220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606</v>
      </c>
      <c r="AM344" s="56">
        <f>'[2]Изложницы без бурта'!K344</f>
        <v>0</v>
      </c>
    </row>
    <row r="345" spans="1:39" x14ac:dyDescent="0.25">
      <c r="A345" s="316"/>
      <c r="B345" s="1274"/>
      <c r="AB345" s="258" t="str">
        <f t="shared" si="15"/>
        <v/>
      </c>
      <c r="AC345" s="259" t="str">
        <f>IF(COUNTIF(AD$78:AD345,AD345)=1,MAX(AC$78:AC344)+1,"")</f>
        <v/>
      </c>
      <c r="AD345" s="220">
        <f>'[2]Изложницы без бурта'!B345</f>
        <v>175</v>
      </c>
      <c r="AE345" s="220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606</v>
      </c>
      <c r="AM345" s="56">
        <f>'[2]Изложницы без бурта'!K345</f>
        <v>0</v>
      </c>
    </row>
    <row r="346" spans="1:39" x14ac:dyDescent="0.25">
      <c r="A346" s="316"/>
      <c r="B346" s="1274"/>
      <c r="AB346" s="258" t="str">
        <f t="shared" si="15"/>
        <v/>
      </c>
      <c r="AC346" s="259" t="str">
        <f>IF(COUNTIF(AD$78:AD346,AD346)=1,MAX(AC$78:AC345)+1,"")</f>
        <v/>
      </c>
      <c r="AD346" s="220">
        <f>'[2]Изложницы без бурта'!B346</f>
        <v>175</v>
      </c>
      <c r="AE346" s="220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606</v>
      </c>
      <c r="AM346" s="56">
        <f>'[2]Изложницы без бурта'!K346</f>
        <v>0</v>
      </c>
    </row>
    <row r="347" spans="1:39" x14ac:dyDescent="0.25">
      <c r="A347" s="316"/>
      <c r="B347" s="1274"/>
      <c r="AB347" s="258" t="str">
        <f t="shared" si="15"/>
        <v/>
      </c>
      <c r="AC347" s="259" t="str">
        <f>IF(COUNTIF(AD$78:AD347,AD347)=1,MAX(AC$78:AC346)+1,"")</f>
        <v/>
      </c>
      <c r="AD347" s="220">
        <f>'[2]Изложницы без бурта'!B347</f>
        <v>175</v>
      </c>
      <c r="AE347" s="220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606</v>
      </c>
      <c r="AM347" s="56">
        <f>'[2]Изложницы без бурта'!K347</f>
        <v>0</v>
      </c>
    </row>
    <row r="348" spans="1:39" x14ac:dyDescent="0.25">
      <c r="A348" s="316"/>
      <c r="B348" s="1274"/>
      <c r="AB348" s="258" t="str">
        <f t="shared" si="15"/>
        <v/>
      </c>
      <c r="AC348" s="259" t="str">
        <f>IF(COUNTIF(AD$78:AD348,AD348)=1,MAX(AC$78:AC347)+1,"")</f>
        <v/>
      </c>
      <c r="AD348" s="220">
        <f>'[2]Изложницы без бурта'!B348</f>
        <v>175</v>
      </c>
      <c r="AE348" s="220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606</v>
      </c>
      <c r="AM348" s="56">
        <f>'[2]Изложницы без бурта'!K348</f>
        <v>0</v>
      </c>
    </row>
    <row r="349" spans="1:39" x14ac:dyDescent="0.25">
      <c r="A349" s="316"/>
      <c r="B349" s="1274"/>
      <c r="AB349" s="258" t="str">
        <f t="shared" si="15"/>
        <v/>
      </c>
      <c r="AC349" s="259" t="str">
        <f>IF(COUNTIF(AD$78:AD349,AD349)=1,MAX(AC$78:AC348)+1,"")</f>
        <v/>
      </c>
      <c r="AD349" s="220">
        <f>'[2]Изложницы без бурта'!B349</f>
        <v>175</v>
      </c>
      <c r="AE349" s="220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606</v>
      </c>
      <c r="AM349" s="56">
        <f>'[2]Изложницы без бурта'!K349</f>
        <v>0</v>
      </c>
    </row>
    <row r="350" spans="1:39" x14ac:dyDescent="0.25">
      <c r="A350" s="316"/>
      <c r="B350" s="1274"/>
      <c r="AB350" s="258" t="str">
        <f t="shared" si="15"/>
        <v/>
      </c>
      <c r="AC350" s="259" t="str">
        <f>IF(COUNTIF(AD$78:AD350,AD350)=1,MAX(AC$78:AC349)+1,"")</f>
        <v/>
      </c>
      <c r="AD350" s="220">
        <f>'[2]Изложницы без бурта'!B350</f>
        <v>175</v>
      </c>
      <c r="AE350" s="220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606</v>
      </c>
      <c r="AM350" s="56">
        <f>'[2]Изложницы без бурта'!K350</f>
        <v>0</v>
      </c>
    </row>
    <row r="351" spans="1:39" x14ac:dyDescent="0.25">
      <c r="A351" s="316"/>
      <c r="B351" s="1274"/>
      <c r="AB351" s="258" t="str">
        <f t="shared" si="15"/>
        <v/>
      </c>
      <c r="AC351" s="259" t="str">
        <f>IF(COUNTIF(AD$78:AD351,AD351)=1,MAX(AC$78:AC350)+1,"")</f>
        <v/>
      </c>
      <c r="AD351" s="220">
        <f>'[2]Изложницы без бурта'!B351</f>
        <v>175</v>
      </c>
      <c r="AE351" s="220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606</v>
      </c>
      <c r="AM351" s="56">
        <f>'[2]Изложницы без бурта'!K351</f>
        <v>0</v>
      </c>
    </row>
    <row r="352" spans="1:39" x14ac:dyDescent="0.25">
      <c r="A352" s="316"/>
      <c r="B352" s="1274"/>
      <c r="AB352" s="258" t="str">
        <f t="shared" si="15"/>
        <v/>
      </c>
      <c r="AC352" s="259" t="str">
        <f>IF(COUNTIF(AD$78:AD352,AD352)=1,MAX(AC$78:AC351)+1,"")</f>
        <v/>
      </c>
      <c r="AD352" s="220">
        <f>'[2]Изложницы без бурта'!B352</f>
        <v>175</v>
      </c>
      <c r="AE352" s="220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606</v>
      </c>
      <c r="AM352" s="56">
        <f>'[2]Изложницы без бурта'!K352</f>
        <v>0</v>
      </c>
    </row>
    <row r="353" spans="1:39" x14ac:dyDescent="0.25">
      <c r="A353" s="316"/>
      <c r="B353" s="1274"/>
      <c r="AB353" s="258" t="str">
        <f t="shared" si="15"/>
        <v/>
      </c>
      <c r="AC353" s="259" t="str">
        <f>IF(COUNTIF(AD$78:AD353,AD353)=1,MAX(AC$78:AC352)+1,"")</f>
        <v/>
      </c>
      <c r="AD353" s="220">
        <f>'[2]Изложницы без бурта'!B353</f>
        <v>175</v>
      </c>
      <c r="AE353" s="220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606</v>
      </c>
      <c r="AM353" s="56">
        <f>'[2]Изложницы без бурта'!K353</f>
        <v>0</v>
      </c>
    </row>
    <row r="354" spans="1:39" x14ac:dyDescent="0.25">
      <c r="A354" s="316"/>
      <c r="B354" s="1274"/>
      <c r="AB354" s="258" t="str">
        <f t="shared" si="15"/>
        <v/>
      </c>
      <c r="AC354" s="259">
        <f>IF(COUNTIF(AD$78:AD354,AD354)=1,MAX(AC$78:AC353)+1,"")</f>
        <v>36</v>
      </c>
      <c r="AD354" s="220">
        <f>'[2]Изложницы без бурта'!B354</f>
        <v>177.5</v>
      </c>
      <c r="AE354" s="220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607</v>
      </c>
      <c r="AM354" s="56">
        <f>'[2]Изложницы без бурта'!K354</f>
        <v>0</v>
      </c>
    </row>
    <row r="355" spans="1:39" x14ac:dyDescent="0.25">
      <c r="A355" s="316"/>
      <c r="B355" s="1274"/>
      <c r="AB355" s="258" t="str">
        <f t="shared" si="15"/>
        <v/>
      </c>
      <c r="AC355" s="259" t="str">
        <f>IF(COUNTIF(AD$78:AD355,AD355)=1,MAX(AC$78:AC354)+1,"")</f>
        <v/>
      </c>
      <c r="AD355" s="220">
        <f>'[2]Изложницы без бурта'!B355</f>
        <v>177.5</v>
      </c>
      <c r="AE355" s="220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607</v>
      </c>
      <c r="AM355" s="56">
        <f>'[2]Изложницы без бурта'!K355</f>
        <v>0</v>
      </c>
    </row>
    <row r="356" spans="1:39" x14ac:dyDescent="0.25">
      <c r="A356" s="316"/>
      <c r="B356" s="1274"/>
      <c r="AB356" s="258" t="str">
        <f t="shared" si="15"/>
        <v/>
      </c>
      <c r="AC356" s="259" t="str">
        <f>IF(COUNTIF(AD$78:AD356,AD356)=1,MAX(AC$78:AC355)+1,"")</f>
        <v/>
      </c>
      <c r="AD356" s="220">
        <f>'[2]Изложницы без бурта'!B356</f>
        <v>177.5</v>
      </c>
      <c r="AE356" s="220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607</v>
      </c>
      <c r="AM356" s="56">
        <f>'[2]Изложницы без бурта'!K356</f>
        <v>0</v>
      </c>
    </row>
    <row r="357" spans="1:39" x14ac:dyDescent="0.25">
      <c r="A357" s="316"/>
      <c r="B357" s="1274"/>
      <c r="AB357" s="258" t="str">
        <f t="shared" si="15"/>
        <v/>
      </c>
      <c r="AC357" s="259" t="str">
        <f>IF(COUNTIF(AD$78:AD357,AD357)=1,MAX(AC$78:AC356)+1,"")</f>
        <v/>
      </c>
      <c r="AD357" s="220">
        <f>'[2]Изложницы без бурта'!B357</f>
        <v>177.5</v>
      </c>
      <c r="AE357" s="220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607</v>
      </c>
      <c r="AM357" s="56">
        <f>'[2]Изложницы без бурта'!K357</f>
        <v>0</v>
      </c>
    </row>
    <row r="358" spans="1:39" x14ac:dyDescent="0.25">
      <c r="A358" s="316"/>
      <c r="B358" s="1274"/>
      <c r="AB358" s="258" t="str">
        <f t="shared" si="15"/>
        <v/>
      </c>
      <c r="AC358" s="259" t="str">
        <f>IF(COUNTIF(AD$78:AD358,AD358)=1,MAX(AC$78:AC357)+1,"")</f>
        <v/>
      </c>
      <c r="AD358" s="220">
        <f>'[2]Изложницы без бурта'!B358</f>
        <v>177.5</v>
      </c>
      <c r="AE358" s="220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607</v>
      </c>
      <c r="AM358" s="56">
        <f>'[2]Изложницы без бурта'!K358</f>
        <v>0</v>
      </c>
    </row>
    <row r="359" spans="1:39" x14ac:dyDescent="0.25">
      <c r="A359" s="316"/>
      <c r="B359" s="1274"/>
      <c r="AB359" s="258" t="str">
        <f t="shared" si="15"/>
        <v/>
      </c>
      <c r="AC359" s="259" t="str">
        <f>IF(COUNTIF(AD$78:AD359,AD359)=1,MAX(AC$78:AC358)+1,"")</f>
        <v/>
      </c>
      <c r="AD359" s="220">
        <f>'[2]Изложницы без бурта'!B359</f>
        <v>177.5</v>
      </c>
      <c r="AE359" s="220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607</v>
      </c>
      <c r="AM359" s="56">
        <f>'[2]Изложницы без бурта'!K359</f>
        <v>0</v>
      </c>
    </row>
    <row r="360" spans="1:39" x14ac:dyDescent="0.25">
      <c r="A360" s="316"/>
      <c r="B360" s="1274"/>
      <c r="AB360" s="258" t="str">
        <f t="shared" si="15"/>
        <v/>
      </c>
      <c r="AC360" s="259" t="str">
        <f>IF(COUNTIF(AD$78:AD360,AD360)=1,MAX(AC$78:AC359)+1,"")</f>
        <v/>
      </c>
      <c r="AD360" s="220">
        <f>'[2]Изложницы без бурта'!B360</f>
        <v>177.5</v>
      </c>
      <c r="AE360" s="220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607</v>
      </c>
      <c r="AM360" s="56">
        <f>'[2]Изложницы без бурта'!K360</f>
        <v>0</v>
      </c>
    </row>
    <row r="361" spans="1:39" x14ac:dyDescent="0.25">
      <c r="A361" s="316"/>
      <c r="B361" s="1274"/>
      <c r="AB361" s="258" t="str">
        <f t="shared" si="15"/>
        <v/>
      </c>
      <c r="AC361" s="259" t="str">
        <f>IF(COUNTIF(AD$78:AD361,AD361)=1,MAX(AC$78:AC360)+1,"")</f>
        <v/>
      </c>
      <c r="AD361" s="220">
        <f>'[2]Изложницы без бурта'!B361</f>
        <v>177.5</v>
      </c>
      <c r="AE361" s="220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607</v>
      </c>
      <c r="AM361" s="56">
        <f>'[2]Изложницы без бурта'!K361</f>
        <v>0</v>
      </c>
    </row>
    <row r="362" spans="1:39" x14ac:dyDescent="0.25">
      <c r="A362" s="316"/>
      <c r="B362" s="1274"/>
      <c r="AB362" s="258" t="str">
        <f t="shared" si="15"/>
        <v/>
      </c>
      <c r="AC362" s="259" t="str">
        <f>IF(COUNTIF(AD$78:AD362,AD362)=1,MAX(AC$78:AC361)+1,"")</f>
        <v/>
      </c>
      <c r="AD362" s="220">
        <f>'[2]Изложницы без бурта'!B362</f>
        <v>177.5</v>
      </c>
      <c r="AE362" s="220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607</v>
      </c>
      <c r="AM362" s="56">
        <f>'[2]Изложницы без бурта'!K362</f>
        <v>0</v>
      </c>
    </row>
    <row r="363" spans="1:39" x14ac:dyDescent="0.25">
      <c r="A363" s="316"/>
      <c r="B363" s="1274"/>
      <c r="AB363" s="258" t="str">
        <f t="shared" si="15"/>
        <v/>
      </c>
      <c r="AC363" s="259">
        <f>IF(COUNTIF(AD$78:AD363,AD363)=1,MAX(AC$78:AC362)+1,"")</f>
        <v>37</v>
      </c>
      <c r="AD363" s="220">
        <f>'[2]Изложницы без бурта'!B363</f>
        <v>180</v>
      </c>
      <c r="AE363" s="220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608</v>
      </c>
      <c r="AM363" s="56">
        <f>'[2]Изложницы без бурта'!K363</f>
        <v>0</v>
      </c>
    </row>
    <row r="364" spans="1:39" x14ac:dyDescent="0.25">
      <c r="A364" s="316"/>
      <c r="B364" s="1274"/>
      <c r="AB364" s="258" t="str">
        <f t="shared" si="15"/>
        <v/>
      </c>
      <c r="AC364" s="259" t="str">
        <f>IF(COUNTIF(AD$78:AD364,AD364)=1,MAX(AC$78:AC363)+1,"")</f>
        <v/>
      </c>
      <c r="AD364" s="220">
        <f>'[2]Изложницы без бурта'!B364</f>
        <v>180</v>
      </c>
      <c r="AE364" s="220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608</v>
      </c>
      <c r="AM364" s="56">
        <f>'[2]Изложницы без бурта'!K364</f>
        <v>0</v>
      </c>
    </row>
    <row r="365" spans="1:39" x14ac:dyDescent="0.25">
      <c r="A365" s="316"/>
      <c r="B365" s="1274"/>
      <c r="AB365" s="258" t="str">
        <f t="shared" si="15"/>
        <v/>
      </c>
      <c r="AC365" s="259" t="str">
        <f>IF(COUNTIF(AD$78:AD365,AD365)=1,MAX(AC$78:AC364)+1,"")</f>
        <v/>
      </c>
      <c r="AD365" s="220">
        <f>'[2]Изложницы без бурта'!B365</f>
        <v>180</v>
      </c>
      <c r="AE365" s="220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608</v>
      </c>
      <c r="AM365" s="56">
        <f>'[2]Изложницы без бурта'!K365</f>
        <v>0</v>
      </c>
    </row>
    <row r="366" spans="1:39" x14ac:dyDescent="0.25">
      <c r="A366" s="316"/>
      <c r="B366" s="1274"/>
      <c r="AB366" s="258" t="str">
        <f t="shared" si="15"/>
        <v/>
      </c>
      <c r="AC366" s="259" t="str">
        <f>IF(COUNTIF(AD$78:AD366,AD366)=1,MAX(AC$78:AC365)+1,"")</f>
        <v/>
      </c>
      <c r="AD366" s="220">
        <f>'[2]Изложницы без бурта'!B366</f>
        <v>180</v>
      </c>
      <c r="AE366" s="220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608</v>
      </c>
      <c r="AM366" s="56">
        <f>'[2]Изложницы без бурта'!K366</f>
        <v>0</v>
      </c>
    </row>
    <row r="367" spans="1:39" x14ac:dyDescent="0.25">
      <c r="A367" s="316"/>
      <c r="B367" s="1274"/>
      <c r="AB367" s="258" t="str">
        <f t="shared" si="15"/>
        <v/>
      </c>
      <c r="AC367" s="259" t="str">
        <f>IF(COUNTIF(AD$78:AD367,AD367)=1,MAX(AC$78:AC366)+1,"")</f>
        <v/>
      </c>
      <c r="AD367" s="220">
        <f>'[2]Изложницы без бурта'!B367</f>
        <v>180</v>
      </c>
      <c r="AE367" s="220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608</v>
      </c>
      <c r="AM367" s="56">
        <f>'[2]Изложницы без бурта'!K367</f>
        <v>0</v>
      </c>
    </row>
    <row r="368" spans="1:39" x14ac:dyDescent="0.25">
      <c r="A368" s="316"/>
      <c r="B368" s="1274"/>
      <c r="AB368" s="258" t="str">
        <f t="shared" si="15"/>
        <v/>
      </c>
      <c r="AC368" s="259" t="str">
        <f>IF(COUNTIF(AD$78:AD368,AD368)=1,MAX(AC$78:AC367)+1,"")</f>
        <v/>
      </c>
      <c r="AD368" s="220">
        <f>'[2]Изложницы без бурта'!B368</f>
        <v>180</v>
      </c>
      <c r="AE368" s="220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608</v>
      </c>
      <c r="AM368" s="56">
        <f>'[2]Изложницы без бурта'!K368</f>
        <v>0</v>
      </c>
    </row>
    <row r="369" spans="1:39" x14ac:dyDescent="0.25">
      <c r="A369" s="316"/>
      <c r="B369" s="1274"/>
      <c r="AB369" s="258" t="str">
        <f t="shared" si="15"/>
        <v/>
      </c>
      <c r="AC369" s="259" t="str">
        <f>IF(COUNTIF(AD$78:AD369,AD369)=1,MAX(AC$78:AC368)+1,"")</f>
        <v/>
      </c>
      <c r="AD369" s="220">
        <f>'[2]Изложницы без бурта'!B369</f>
        <v>180</v>
      </c>
      <c r="AE369" s="220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608</v>
      </c>
      <c r="AM369" s="56">
        <f>'[2]Изложницы без бурта'!K369</f>
        <v>0</v>
      </c>
    </row>
    <row r="370" spans="1:39" x14ac:dyDescent="0.25">
      <c r="A370" s="316"/>
      <c r="B370" s="1274"/>
      <c r="AB370" s="258" t="str">
        <f t="shared" si="15"/>
        <v/>
      </c>
      <c r="AC370" s="259" t="str">
        <f>IF(COUNTIF(AD$78:AD370,AD370)=1,MAX(AC$78:AC369)+1,"")</f>
        <v/>
      </c>
      <c r="AD370" s="220">
        <f>'[2]Изложницы без бурта'!B370</f>
        <v>180</v>
      </c>
      <c r="AE370" s="220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608</v>
      </c>
      <c r="AM370" s="56">
        <f>'[2]Изложницы без бурта'!K370</f>
        <v>0</v>
      </c>
    </row>
    <row r="371" spans="1:39" x14ac:dyDescent="0.25">
      <c r="A371" s="316"/>
      <c r="B371" s="1274"/>
      <c r="AB371" s="258" t="str">
        <f t="shared" si="15"/>
        <v/>
      </c>
      <c r="AC371" s="259" t="str">
        <f>IF(COUNTIF(AD$78:AD371,AD371)=1,MAX(AC$78:AC370)+1,"")</f>
        <v/>
      </c>
      <c r="AD371" s="220">
        <f>'[2]Изложницы без бурта'!B371</f>
        <v>180</v>
      </c>
      <c r="AE371" s="220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608</v>
      </c>
      <c r="AM371" s="56">
        <f>'[2]Изложницы без бурта'!K371</f>
        <v>0</v>
      </c>
    </row>
    <row r="372" spans="1:39" x14ac:dyDescent="0.25">
      <c r="A372" s="316"/>
      <c r="B372" s="1274"/>
      <c r="AB372" s="258" t="str">
        <f t="shared" si="15"/>
        <v/>
      </c>
      <c r="AC372" s="259" t="str">
        <f>IF(COUNTIF(AD$78:AD372,AD372)=1,MAX(AC$78:AC371)+1,"")</f>
        <v/>
      </c>
      <c r="AD372" s="220">
        <f>'[2]Изложницы без бурта'!B372</f>
        <v>180</v>
      </c>
      <c r="AE372" s="220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608</v>
      </c>
      <c r="AM372" s="56">
        <f>'[2]Изложницы без бурта'!K372</f>
        <v>0</v>
      </c>
    </row>
    <row r="373" spans="1:39" x14ac:dyDescent="0.25">
      <c r="A373" s="316"/>
      <c r="B373" s="1274"/>
      <c r="AB373" s="258" t="str">
        <f t="shared" si="15"/>
        <v/>
      </c>
      <c r="AC373" s="259" t="str">
        <f>IF(COUNTIF(AD$78:AD373,AD373)=1,MAX(AC$78:AC372)+1,"")</f>
        <v/>
      </c>
      <c r="AD373" s="220">
        <f>'[2]Изложницы без бурта'!B373</f>
        <v>180</v>
      </c>
      <c r="AE373" s="220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608</v>
      </c>
      <c r="AM373" s="56">
        <f>'[2]Изложницы без бурта'!K373</f>
        <v>0</v>
      </c>
    </row>
    <row r="374" spans="1:39" x14ac:dyDescent="0.25">
      <c r="A374" s="316"/>
      <c r="B374" s="1274"/>
      <c r="AB374" s="258" t="str">
        <f t="shared" si="15"/>
        <v/>
      </c>
      <c r="AC374" s="259" t="str">
        <f>IF(COUNTIF(AD$78:AD374,AD374)=1,MAX(AC$78:AC373)+1,"")</f>
        <v/>
      </c>
      <c r="AD374" s="220">
        <f>'[2]Изложницы без бурта'!B374</f>
        <v>180</v>
      </c>
      <c r="AE374" s="220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608</v>
      </c>
      <c r="AM374" s="56">
        <f>'[2]Изложницы без бурта'!K374</f>
        <v>0</v>
      </c>
    </row>
    <row r="375" spans="1:39" x14ac:dyDescent="0.25">
      <c r="A375" s="316"/>
      <c r="B375" s="1274"/>
      <c r="AB375" s="258" t="str">
        <f t="shared" si="15"/>
        <v/>
      </c>
      <c r="AC375" s="259">
        <f>IF(COUNTIF(AD$78:AD375,AD375)=1,MAX(AC$78:AC374)+1,"")</f>
        <v>38</v>
      </c>
      <c r="AD375" s="220">
        <f>'[2]Изложницы без бурта'!B375</f>
        <v>182.5</v>
      </c>
      <c r="AE375" s="220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609</v>
      </c>
      <c r="AM375" s="56">
        <f>'[2]Изложницы без бурта'!K375</f>
        <v>0</v>
      </c>
    </row>
    <row r="376" spans="1:39" x14ac:dyDescent="0.25">
      <c r="A376" s="316"/>
      <c r="B376" s="1274"/>
      <c r="AB376" s="258" t="str">
        <f t="shared" si="15"/>
        <v/>
      </c>
      <c r="AC376" s="259" t="str">
        <f>IF(COUNTIF(AD$78:AD376,AD376)=1,MAX(AC$78:AC375)+1,"")</f>
        <v/>
      </c>
      <c r="AD376" s="220">
        <f>'[2]Изложницы без бурта'!B376</f>
        <v>182.5</v>
      </c>
      <c r="AE376" s="220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609</v>
      </c>
      <c r="AM376" s="56">
        <f>'[2]Изложницы без бурта'!K376</f>
        <v>0</v>
      </c>
    </row>
    <row r="377" spans="1:39" x14ac:dyDescent="0.25">
      <c r="A377" s="316"/>
      <c r="B377" s="1274"/>
      <c r="AB377" s="258" t="str">
        <f t="shared" ref="AB377:AB440" si="16">IF(MAX(AC377:AC1454)&lt;ROW(299:299),"",VLOOKUP(ROW(299:299),AC377:AD1454,2))</f>
        <v/>
      </c>
      <c r="AC377" s="259" t="str">
        <f>IF(COUNTIF(AD$78:AD377,AD377)=1,MAX(AC$78:AC376)+1,"")</f>
        <v/>
      </c>
      <c r="AD377" s="220">
        <f>'[2]Изложницы без бурта'!B377</f>
        <v>182.5</v>
      </c>
      <c r="AE377" s="220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609</v>
      </c>
      <c r="AM377" s="56">
        <f>'[2]Изложницы без бурта'!K377</f>
        <v>0</v>
      </c>
    </row>
    <row r="378" spans="1:39" x14ac:dyDescent="0.25">
      <c r="A378" s="316"/>
      <c r="B378" s="1274"/>
      <c r="AB378" s="258" t="str">
        <f t="shared" si="16"/>
        <v/>
      </c>
      <c r="AC378" s="259" t="str">
        <f>IF(COUNTIF(AD$78:AD378,AD378)=1,MAX(AC$78:AC377)+1,"")</f>
        <v/>
      </c>
      <c r="AD378" s="220">
        <f>'[2]Изложницы без бурта'!B378</f>
        <v>182.5</v>
      </c>
      <c r="AE378" s="220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609</v>
      </c>
      <c r="AM378" s="56">
        <f>'[2]Изложницы без бурта'!K378</f>
        <v>0</v>
      </c>
    </row>
    <row r="379" spans="1:39" x14ac:dyDescent="0.25">
      <c r="A379" s="316"/>
      <c r="B379" s="1274"/>
      <c r="AB379" s="258" t="str">
        <f t="shared" si="16"/>
        <v/>
      </c>
      <c r="AC379" s="259" t="str">
        <f>IF(COUNTIF(AD$78:AD379,AD379)=1,MAX(AC$78:AC378)+1,"")</f>
        <v/>
      </c>
      <c r="AD379" s="220">
        <f>'[2]Изложницы без бурта'!B379</f>
        <v>182.5</v>
      </c>
      <c r="AE379" s="220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609</v>
      </c>
      <c r="AM379" s="56">
        <f>'[2]Изложницы без бурта'!K379</f>
        <v>0</v>
      </c>
    </row>
    <row r="380" spans="1:39" x14ac:dyDescent="0.25">
      <c r="A380" s="316"/>
      <c r="B380" s="1274"/>
      <c r="AB380" s="258" t="str">
        <f t="shared" si="16"/>
        <v/>
      </c>
      <c r="AC380" s="259" t="str">
        <f>IF(COUNTIF(AD$78:AD380,AD380)=1,MAX(AC$78:AC379)+1,"")</f>
        <v/>
      </c>
      <c r="AD380" s="220">
        <f>'[2]Изложницы без бурта'!B380</f>
        <v>182.5</v>
      </c>
      <c r="AE380" s="220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609</v>
      </c>
      <c r="AM380" s="56">
        <f>'[2]Изложницы без бурта'!K380</f>
        <v>0</v>
      </c>
    </row>
    <row r="381" spans="1:39" x14ac:dyDescent="0.25">
      <c r="A381" s="316"/>
      <c r="B381" s="1274"/>
      <c r="AB381" s="258" t="str">
        <f t="shared" si="16"/>
        <v/>
      </c>
      <c r="AC381" s="259">
        <f>IF(COUNTIF(AD$78:AD381,AD381)=1,MAX(AC$78:AC380)+1,"")</f>
        <v>39</v>
      </c>
      <c r="AD381" s="220">
        <f>'[2]Изложницы без бурта'!B381</f>
        <v>185</v>
      </c>
      <c r="AE381" s="220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610</v>
      </c>
      <c r="AM381" s="56">
        <f>'[2]Изложницы без бурта'!K381</f>
        <v>0</v>
      </c>
    </row>
    <row r="382" spans="1:39" x14ac:dyDescent="0.25">
      <c r="A382" s="316"/>
      <c r="B382" s="1274"/>
      <c r="AB382" s="258" t="str">
        <f t="shared" si="16"/>
        <v/>
      </c>
      <c r="AC382" s="259" t="str">
        <f>IF(COUNTIF(AD$78:AD382,AD382)=1,MAX(AC$78:AC381)+1,"")</f>
        <v/>
      </c>
      <c r="AD382" s="220">
        <f>'[2]Изложницы без бурта'!B382</f>
        <v>185</v>
      </c>
      <c r="AE382" s="220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610</v>
      </c>
      <c r="AM382" s="56">
        <f>'[2]Изложницы без бурта'!K382</f>
        <v>0</v>
      </c>
    </row>
    <row r="383" spans="1:39" x14ac:dyDescent="0.25">
      <c r="A383" s="316"/>
      <c r="B383" s="1274"/>
      <c r="AB383" s="258" t="str">
        <f t="shared" si="16"/>
        <v/>
      </c>
      <c r="AC383" s="259" t="str">
        <f>IF(COUNTIF(AD$78:AD383,AD383)=1,MAX(AC$78:AC382)+1,"")</f>
        <v/>
      </c>
      <c r="AD383" s="220">
        <f>'[2]Изложницы без бурта'!B383</f>
        <v>185</v>
      </c>
      <c r="AE383" s="220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610</v>
      </c>
      <c r="AM383" s="56">
        <f>'[2]Изложницы без бурта'!K383</f>
        <v>0</v>
      </c>
    </row>
    <row r="384" spans="1:39" x14ac:dyDescent="0.25">
      <c r="A384" s="316"/>
      <c r="B384" s="1274"/>
      <c r="AB384" s="258" t="str">
        <f t="shared" si="16"/>
        <v/>
      </c>
      <c r="AC384" s="259" t="str">
        <f>IF(COUNTIF(AD$78:AD384,AD384)=1,MAX(AC$78:AC383)+1,"")</f>
        <v/>
      </c>
      <c r="AD384" s="220">
        <f>'[2]Изложницы без бурта'!B384</f>
        <v>185</v>
      </c>
      <c r="AE384" s="220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610</v>
      </c>
      <c r="AM384" s="56">
        <f>'[2]Изложницы без бурта'!K384</f>
        <v>0</v>
      </c>
    </row>
    <row r="385" spans="1:39" x14ac:dyDescent="0.25">
      <c r="A385" s="316"/>
      <c r="B385" s="1274"/>
      <c r="AB385" s="258" t="str">
        <f t="shared" si="16"/>
        <v/>
      </c>
      <c r="AC385" s="259" t="str">
        <f>IF(COUNTIF(AD$78:AD385,AD385)=1,MAX(AC$78:AC384)+1,"")</f>
        <v/>
      </c>
      <c r="AD385" s="220">
        <f>'[2]Изложницы без бурта'!B385</f>
        <v>185</v>
      </c>
      <c r="AE385" s="220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610</v>
      </c>
      <c r="AM385" s="56">
        <f>'[2]Изложницы без бурта'!K385</f>
        <v>0</v>
      </c>
    </row>
    <row r="386" spans="1:39" x14ac:dyDescent="0.25">
      <c r="A386" s="316"/>
      <c r="B386" s="1274"/>
      <c r="AB386" s="258" t="str">
        <f t="shared" si="16"/>
        <v/>
      </c>
      <c r="AC386" s="259" t="str">
        <f>IF(COUNTIF(AD$78:AD386,AD386)=1,MAX(AC$78:AC385)+1,"")</f>
        <v/>
      </c>
      <c r="AD386" s="220">
        <f>'[2]Изложницы без бурта'!B386</f>
        <v>185</v>
      </c>
      <c r="AE386" s="220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610</v>
      </c>
      <c r="AM386" s="56">
        <f>'[2]Изложницы без бурта'!K386</f>
        <v>0</v>
      </c>
    </row>
    <row r="387" spans="1:39" x14ac:dyDescent="0.25">
      <c r="A387" s="316"/>
      <c r="B387" s="1274"/>
      <c r="AB387" s="258" t="str">
        <f t="shared" si="16"/>
        <v/>
      </c>
      <c r="AC387" s="259" t="str">
        <f>IF(COUNTIF(AD$78:AD387,AD387)=1,MAX(AC$78:AC386)+1,"")</f>
        <v/>
      </c>
      <c r="AD387" s="220">
        <f>'[2]Изложницы без бурта'!B387</f>
        <v>185</v>
      </c>
      <c r="AE387" s="220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610</v>
      </c>
      <c r="AM387" s="56">
        <f>'[2]Изложницы без бурта'!K387</f>
        <v>0</v>
      </c>
    </row>
    <row r="388" spans="1:39" x14ac:dyDescent="0.25">
      <c r="A388" s="316"/>
      <c r="B388" s="1274"/>
      <c r="AB388" s="258" t="str">
        <f t="shared" si="16"/>
        <v/>
      </c>
      <c r="AC388" s="259" t="str">
        <f>IF(COUNTIF(AD$78:AD388,AD388)=1,MAX(AC$78:AC387)+1,"")</f>
        <v/>
      </c>
      <c r="AD388" s="220">
        <f>'[2]Изложницы без бурта'!B388</f>
        <v>185</v>
      </c>
      <c r="AE388" s="220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610</v>
      </c>
      <c r="AM388" s="56">
        <f>'[2]Изложницы без бурта'!K388</f>
        <v>0</v>
      </c>
    </row>
    <row r="389" spans="1:39" x14ac:dyDescent="0.25">
      <c r="A389" s="316"/>
      <c r="B389" s="1274"/>
      <c r="AB389" s="258" t="str">
        <f t="shared" si="16"/>
        <v/>
      </c>
      <c r="AC389" s="259" t="str">
        <f>IF(COUNTIF(AD$78:AD389,AD389)=1,MAX(AC$78:AC388)+1,"")</f>
        <v/>
      </c>
      <c r="AD389" s="220">
        <f>'[2]Изложницы без бурта'!B389</f>
        <v>185</v>
      </c>
      <c r="AE389" s="220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610</v>
      </c>
      <c r="AM389" s="56">
        <f>'[2]Изложницы без бурта'!K389</f>
        <v>0</v>
      </c>
    </row>
    <row r="390" spans="1:39" x14ac:dyDescent="0.25">
      <c r="A390" s="316"/>
      <c r="B390" s="1274"/>
      <c r="AB390" s="258" t="str">
        <f t="shared" si="16"/>
        <v/>
      </c>
      <c r="AC390" s="259" t="str">
        <f>IF(COUNTIF(AD$78:AD390,AD390)=1,MAX(AC$78:AC389)+1,"")</f>
        <v/>
      </c>
      <c r="AD390" s="220">
        <f>'[2]Изложницы без бурта'!B390</f>
        <v>185</v>
      </c>
      <c r="AE390" s="220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610</v>
      </c>
      <c r="AM390" s="56">
        <f>'[2]Изложницы без бурта'!K390</f>
        <v>0</v>
      </c>
    </row>
    <row r="391" spans="1:39" x14ac:dyDescent="0.25">
      <c r="A391" s="316"/>
      <c r="B391" s="1274"/>
      <c r="AB391" s="258" t="str">
        <f t="shared" si="16"/>
        <v/>
      </c>
      <c r="AC391" s="259" t="str">
        <f>IF(COUNTIF(AD$78:AD391,AD391)=1,MAX(AC$78:AC390)+1,"")</f>
        <v/>
      </c>
      <c r="AD391" s="220">
        <f>'[2]Изложницы без бурта'!B391</f>
        <v>185</v>
      </c>
      <c r="AE391" s="220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610</v>
      </c>
      <c r="AM391" s="56">
        <f>'[2]Изложницы без бурта'!K391</f>
        <v>0</v>
      </c>
    </row>
    <row r="392" spans="1:39" x14ac:dyDescent="0.25">
      <c r="A392" s="316"/>
      <c r="B392" s="1274"/>
      <c r="AB392" s="258" t="str">
        <f t="shared" si="16"/>
        <v/>
      </c>
      <c r="AC392" s="259" t="str">
        <f>IF(COUNTIF(AD$78:AD392,AD392)=1,MAX(AC$78:AC391)+1,"")</f>
        <v/>
      </c>
      <c r="AD392" s="220">
        <f>'[2]Изложницы без бурта'!B392</f>
        <v>185</v>
      </c>
      <c r="AE392" s="220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610</v>
      </c>
      <c r="AM392" s="56">
        <f>'[2]Изложницы без бурта'!K392</f>
        <v>0</v>
      </c>
    </row>
    <row r="393" spans="1:39" x14ac:dyDescent="0.25">
      <c r="A393" s="316"/>
      <c r="B393" s="1274"/>
      <c r="AB393" s="258" t="str">
        <f t="shared" si="16"/>
        <v/>
      </c>
      <c r="AC393" s="259" t="str">
        <f>IF(COUNTIF(AD$78:AD393,AD393)=1,MAX(AC$78:AC392)+1,"")</f>
        <v/>
      </c>
      <c r="AD393" s="220">
        <f>'[2]Изложницы без бурта'!B393</f>
        <v>185</v>
      </c>
      <c r="AE393" s="220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610</v>
      </c>
      <c r="AM393" s="56">
        <f>'[2]Изложницы без бурта'!K393</f>
        <v>0</v>
      </c>
    </row>
    <row r="394" spans="1:39" x14ac:dyDescent="0.25">
      <c r="A394" s="316"/>
      <c r="B394" s="1274"/>
      <c r="AB394" s="258" t="str">
        <f t="shared" si="16"/>
        <v/>
      </c>
      <c r="AC394" s="259" t="str">
        <f>IF(COUNTIF(AD$78:AD394,AD394)=1,MAX(AC$78:AC393)+1,"")</f>
        <v/>
      </c>
      <c r="AD394" s="220">
        <f>'[2]Изложницы без бурта'!B394</f>
        <v>185</v>
      </c>
      <c r="AE394" s="220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610</v>
      </c>
      <c r="AM394" s="56">
        <f>'[2]Изложницы без бурта'!K394</f>
        <v>0</v>
      </c>
    </row>
    <row r="395" spans="1:39" x14ac:dyDescent="0.25">
      <c r="A395" s="316"/>
      <c r="B395" s="1274"/>
      <c r="AB395" s="258" t="str">
        <f t="shared" si="16"/>
        <v/>
      </c>
      <c r="AC395" s="259" t="str">
        <f>IF(COUNTIF(AD$78:AD395,AD395)=1,MAX(AC$78:AC394)+1,"")</f>
        <v/>
      </c>
      <c r="AD395" s="220">
        <f>'[2]Изложницы без бурта'!B395</f>
        <v>185</v>
      </c>
      <c r="AE395" s="220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610</v>
      </c>
      <c r="AM395" s="56">
        <f>'[2]Изложницы без бурта'!K395</f>
        <v>0</v>
      </c>
    </row>
    <row r="396" spans="1:39" x14ac:dyDescent="0.25">
      <c r="A396" s="316"/>
      <c r="B396" s="1274"/>
      <c r="AB396" s="258" t="str">
        <f t="shared" si="16"/>
        <v/>
      </c>
      <c r="AC396" s="259" t="str">
        <f>IF(COUNTIF(AD$78:AD396,AD396)=1,MAX(AC$78:AC395)+1,"")</f>
        <v/>
      </c>
      <c r="AD396" s="220">
        <f>'[2]Изложницы без бурта'!B396</f>
        <v>185</v>
      </c>
      <c r="AE396" s="220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610</v>
      </c>
      <c r="AM396" s="56">
        <f>'[2]Изложницы без бурта'!K396</f>
        <v>0</v>
      </c>
    </row>
    <row r="397" spans="1:39" x14ac:dyDescent="0.25">
      <c r="A397" s="316"/>
      <c r="B397" s="1274"/>
      <c r="AB397" s="258" t="str">
        <f t="shared" si="16"/>
        <v/>
      </c>
      <c r="AC397" s="259" t="str">
        <f>IF(COUNTIF(AD$78:AD397,AD397)=1,MAX(AC$78:AC396)+1,"")</f>
        <v/>
      </c>
      <c r="AD397" s="220">
        <f>'[2]Изложницы без бурта'!B397</f>
        <v>185</v>
      </c>
      <c r="AE397" s="220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610</v>
      </c>
      <c r="AM397" s="56">
        <f>'[2]Изложницы без бурта'!K397</f>
        <v>0</v>
      </c>
    </row>
    <row r="398" spans="1:39" x14ac:dyDescent="0.25">
      <c r="A398" s="316"/>
      <c r="B398" s="1274"/>
      <c r="AB398" s="258" t="str">
        <f t="shared" si="16"/>
        <v/>
      </c>
      <c r="AC398" s="259" t="str">
        <f>IF(COUNTIF(AD$78:AD398,AD398)=1,MAX(AC$78:AC397)+1,"")</f>
        <v/>
      </c>
      <c r="AD398" s="220">
        <f>'[2]Изложницы без бурта'!B398</f>
        <v>185</v>
      </c>
      <c r="AE398" s="220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610</v>
      </c>
      <c r="AM398" s="56">
        <f>'[2]Изложницы без бурта'!K398</f>
        <v>0</v>
      </c>
    </row>
    <row r="399" spans="1:39" x14ac:dyDescent="0.25">
      <c r="A399" s="316"/>
      <c r="B399" s="1274"/>
      <c r="AB399" s="258" t="str">
        <f t="shared" si="16"/>
        <v/>
      </c>
      <c r="AC399" s="259" t="str">
        <f>IF(COUNTIF(AD$78:AD399,AD399)=1,MAX(AC$78:AC398)+1,"")</f>
        <v/>
      </c>
      <c r="AD399" s="220">
        <f>'[2]Изложницы без бурта'!B399</f>
        <v>185</v>
      </c>
      <c r="AE399" s="220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610</v>
      </c>
      <c r="AM399" s="56">
        <f>'[2]Изложницы без бурта'!K399</f>
        <v>0</v>
      </c>
    </row>
    <row r="400" spans="1:39" x14ac:dyDescent="0.25">
      <c r="A400" s="316"/>
      <c r="B400" s="1274"/>
      <c r="AB400" s="258" t="str">
        <f t="shared" si="16"/>
        <v/>
      </c>
      <c r="AC400" s="259" t="str">
        <f>IF(COUNTIF(AD$78:AD400,AD400)=1,MAX(AC$78:AC399)+1,"")</f>
        <v/>
      </c>
      <c r="AD400" s="220">
        <f>'[2]Изложницы без бурта'!B400</f>
        <v>185</v>
      </c>
      <c r="AE400" s="220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610</v>
      </c>
      <c r="AM400" s="56">
        <f>'[2]Изложницы без бурта'!K400</f>
        <v>0</v>
      </c>
    </row>
    <row r="401" spans="1:39" x14ac:dyDescent="0.25">
      <c r="A401" s="316"/>
      <c r="B401" s="1274"/>
      <c r="AB401" s="258" t="str">
        <f t="shared" si="16"/>
        <v/>
      </c>
      <c r="AC401" s="259" t="str">
        <f>IF(COUNTIF(AD$78:AD401,AD401)=1,MAX(AC$78:AC400)+1,"")</f>
        <v/>
      </c>
      <c r="AD401" s="220">
        <f>'[2]Изложницы без бурта'!B401</f>
        <v>185</v>
      </c>
      <c r="AE401" s="220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610</v>
      </c>
      <c r="AM401" s="56">
        <f>'[2]Изложницы без бурта'!K401</f>
        <v>0</v>
      </c>
    </row>
    <row r="402" spans="1:39" x14ac:dyDescent="0.25">
      <c r="A402" s="316"/>
      <c r="B402" s="1274"/>
      <c r="AB402" s="258" t="str">
        <f t="shared" si="16"/>
        <v/>
      </c>
      <c r="AC402" s="259" t="str">
        <f>IF(COUNTIF(AD$78:AD402,AD402)=1,MAX(AC$78:AC401)+1,"")</f>
        <v/>
      </c>
      <c r="AD402" s="220">
        <f>'[2]Изложницы без бурта'!B402</f>
        <v>185</v>
      </c>
      <c r="AE402" s="220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610</v>
      </c>
      <c r="AM402" s="56">
        <f>'[2]Изложницы без бурта'!K402</f>
        <v>0</v>
      </c>
    </row>
    <row r="403" spans="1:39" x14ac:dyDescent="0.25">
      <c r="A403" s="316"/>
      <c r="B403" s="1274"/>
      <c r="AB403" s="258" t="str">
        <f t="shared" si="16"/>
        <v/>
      </c>
      <c r="AC403" s="259" t="str">
        <f>IF(COUNTIF(AD$78:AD403,AD403)=1,MAX(AC$78:AC402)+1,"")</f>
        <v/>
      </c>
      <c r="AD403" s="220">
        <f>'[2]Изложницы без бурта'!B403</f>
        <v>185</v>
      </c>
      <c r="AE403" s="220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610</v>
      </c>
      <c r="AM403" s="56">
        <f>'[2]Изложницы без бурта'!K403</f>
        <v>0</v>
      </c>
    </row>
    <row r="404" spans="1:39" x14ac:dyDescent="0.25">
      <c r="AB404" s="258" t="str">
        <f t="shared" si="16"/>
        <v/>
      </c>
      <c r="AC404" s="259" t="str">
        <f>IF(COUNTIF(AD$78:AD404,AD404)=1,MAX(AC$78:AC403)+1,"")</f>
        <v/>
      </c>
      <c r="AD404" s="220">
        <f>'[2]Изложницы без бурта'!B404</f>
        <v>185</v>
      </c>
      <c r="AE404" s="220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610</v>
      </c>
      <c r="AM404" s="56">
        <f>'[2]Изложницы без бурта'!K404</f>
        <v>0</v>
      </c>
    </row>
    <row r="405" spans="1:39" x14ac:dyDescent="0.25">
      <c r="AB405" s="258" t="str">
        <f t="shared" si="16"/>
        <v/>
      </c>
      <c r="AC405" s="259" t="str">
        <f>IF(COUNTIF(AD$78:AD405,AD405)=1,MAX(AC$78:AC404)+1,"")</f>
        <v/>
      </c>
      <c r="AD405" s="220">
        <f>'[2]Изложницы без бурта'!B405</f>
        <v>185</v>
      </c>
      <c r="AE405" s="220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610</v>
      </c>
      <c r="AM405" s="56">
        <f>'[2]Изложницы без бурта'!K405</f>
        <v>0</v>
      </c>
    </row>
    <row r="406" spans="1:39" x14ac:dyDescent="0.25">
      <c r="AB406" s="258" t="str">
        <f t="shared" si="16"/>
        <v/>
      </c>
      <c r="AC406" s="259" t="str">
        <f>IF(COUNTIF(AD$78:AD406,AD406)=1,MAX(AC$78:AC405)+1,"")</f>
        <v/>
      </c>
      <c r="AD406" s="220">
        <f>'[2]Изложницы без бурта'!B406</f>
        <v>185</v>
      </c>
      <c r="AE406" s="220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610</v>
      </c>
      <c r="AM406" s="56">
        <f>'[2]Изложницы без бурта'!K406</f>
        <v>0</v>
      </c>
    </row>
    <row r="407" spans="1:39" x14ac:dyDescent="0.25">
      <c r="AB407" s="258" t="str">
        <f t="shared" si="16"/>
        <v/>
      </c>
      <c r="AC407" s="259" t="str">
        <f>IF(COUNTIF(AD$78:AD407,AD407)=1,MAX(AC$78:AC406)+1,"")</f>
        <v/>
      </c>
      <c r="AD407" s="220">
        <f>'[2]Изложницы без бурта'!B407</f>
        <v>185</v>
      </c>
      <c r="AE407" s="220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610</v>
      </c>
      <c r="AM407" s="56">
        <f>'[2]Изложницы без бурта'!K407</f>
        <v>0</v>
      </c>
    </row>
    <row r="408" spans="1:39" x14ac:dyDescent="0.25">
      <c r="AB408" s="258" t="str">
        <f t="shared" si="16"/>
        <v/>
      </c>
      <c r="AC408" s="259" t="str">
        <f>IF(COUNTIF(AD$78:AD408,AD408)=1,MAX(AC$78:AC407)+1,"")</f>
        <v/>
      </c>
      <c r="AD408" s="220">
        <f>'[2]Изложницы без бурта'!B408</f>
        <v>185</v>
      </c>
      <c r="AE408" s="220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610</v>
      </c>
      <c r="AM408" s="56">
        <f>'[2]Изложницы без бурта'!K408</f>
        <v>0</v>
      </c>
    </row>
    <row r="409" spans="1:39" x14ac:dyDescent="0.25">
      <c r="AB409" s="258" t="str">
        <f t="shared" si="16"/>
        <v/>
      </c>
      <c r="AC409" s="259" t="str">
        <f>IF(COUNTIF(AD$78:AD409,AD409)=1,MAX(AC$78:AC408)+1,"")</f>
        <v/>
      </c>
      <c r="AD409" s="220">
        <f>'[2]Изложницы без бурта'!B409</f>
        <v>185</v>
      </c>
      <c r="AE409" s="220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610</v>
      </c>
      <c r="AM409" s="56">
        <f>'[2]Изложницы без бурта'!K409</f>
        <v>0</v>
      </c>
    </row>
    <row r="410" spans="1:39" x14ac:dyDescent="0.25">
      <c r="AB410" s="258" t="str">
        <f t="shared" si="16"/>
        <v/>
      </c>
      <c r="AC410" s="259" t="str">
        <f>IF(COUNTIF(AD$78:AD410,AD410)=1,MAX(AC$78:AC409)+1,"")</f>
        <v/>
      </c>
      <c r="AD410" s="220">
        <f>'[2]Изложницы без бурта'!B410</f>
        <v>185</v>
      </c>
      <c r="AE410" s="220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610</v>
      </c>
      <c r="AM410" s="56">
        <f>'[2]Изложницы без бурта'!K410</f>
        <v>0</v>
      </c>
    </row>
    <row r="411" spans="1:39" x14ac:dyDescent="0.25">
      <c r="AB411" s="258" t="str">
        <f t="shared" si="16"/>
        <v/>
      </c>
      <c r="AC411" s="259" t="str">
        <f>IF(COUNTIF(AD$78:AD411,AD411)=1,MAX(AC$78:AC410)+1,"")</f>
        <v/>
      </c>
      <c r="AD411" s="220">
        <f>'[2]Изложницы без бурта'!B411</f>
        <v>185</v>
      </c>
      <c r="AE411" s="220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610</v>
      </c>
      <c r="AM411" s="56">
        <f>'[2]Изложницы без бурта'!K411</f>
        <v>0</v>
      </c>
    </row>
    <row r="412" spans="1:39" x14ac:dyDescent="0.25">
      <c r="AB412" s="258" t="str">
        <f t="shared" si="16"/>
        <v/>
      </c>
      <c r="AC412" s="259" t="str">
        <f>IF(COUNTIF(AD$78:AD412,AD412)=1,MAX(AC$78:AC411)+1,"")</f>
        <v/>
      </c>
      <c r="AD412" s="220">
        <f>'[2]Изложницы без бурта'!B412</f>
        <v>185</v>
      </c>
      <c r="AE412" s="220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610</v>
      </c>
      <c r="AM412" s="56">
        <f>'[2]Изложницы без бурта'!K412</f>
        <v>0</v>
      </c>
    </row>
    <row r="413" spans="1:39" x14ac:dyDescent="0.25">
      <c r="AB413" s="258" t="str">
        <f t="shared" si="16"/>
        <v/>
      </c>
      <c r="AC413" s="259" t="str">
        <f>IF(COUNTIF(AD$78:AD413,AD413)=1,MAX(AC$78:AC412)+1,"")</f>
        <v/>
      </c>
      <c r="AD413" s="220">
        <f>'[2]Изложницы без бурта'!B413</f>
        <v>185</v>
      </c>
      <c r="AE413" s="220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610</v>
      </c>
      <c r="AM413" s="56">
        <f>'[2]Изложницы без бурта'!K413</f>
        <v>0</v>
      </c>
    </row>
    <row r="414" spans="1:39" x14ac:dyDescent="0.25">
      <c r="AB414" s="258" t="str">
        <f t="shared" si="16"/>
        <v/>
      </c>
      <c r="AC414" s="259" t="str">
        <f>IF(COUNTIF(AD$78:AD414,AD414)=1,MAX(AC$78:AC413)+1,"")</f>
        <v/>
      </c>
      <c r="AD414" s="220">
        <f>'[2]Изложницы без бурта'!B414</f>
        <v>185</v>
      </c>
      <c r="AE414" s="220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610</v>
      </c>
      <c r="AM414" s="56">
        <f>'[2]Изложницы без бурта'!K414</f>
        <v>0</v>
      </c>
    </row>
    <row r="415" spans="1:39" x14ac:dyDescent="0.25">
      <c r="AB415" s="258" t="str">
        <f t="shared" si="16"/>
        <v/>
      </c>
      <c r="AC415" s="259" t="str">
        <f>IF(COUNTIF(AD$78:AD415,AD415)=1,MAX(AC$78:AC414)+1,"")</f>
        <v/>
      </c>
      <c r="AD415" s="220">
        <f>'[2]Изложницы без бурта'!B415</f>
        <v>185</v>
      </c>
      <c r="AE415" s="220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610</v>
      </c>
      <c r="AM415" s="56">
        <f>'[2]Изложницы без бурта'!K415</f>
        <v>0</v>
      </c>
    </row>
    <row r="416" spans="1:39" x14ac:dyDescent="0.25">
      <c r="AB416" s="258" t="str">
        <f t="shared" si="16"/>
        <v/>
      </c>
      <c r="AC416" s="259" t="str">
        <f>IF(COUNTIF(AD$78:AD416,AD416)=1,MAX(AC$78:AC415)+1,"")</f>
        <v/>
      </c>
      <c r="AD416" s="220">
        <f>'[2]Изложницы без бурта'!B416</f>
        <v>185</v>
      </c>
      <c r="AE416" s="220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610</v>
      </c>
      <c r="AM416" s="56">
        <f>'[2]Изложницы без бурта'!K416</f>
        <v>0</v>
      </c>
    </row>
    <row r="417" spans="28:39" x14ac:dyDescent="0.25">
      <c r="AB417" s="258" t="str">
        <f t="shared" si="16"/>
        <v/>
      </c>
      <c r="AC417" s="259">
        <f>IF(COUNTIF(AD$78:AD417,AD417)=1,MAX(AC$78:AC416)+1,"")</f>
        <v>40</v>
      </c>
      <c r="AD417" s="220">
        <f>'[2]Изложницы без бурта'!B417</f>
        <v>187.5</v>
      </c>
      <c r="AE417" s="220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611</v>
      </c>
      <c r="AM417" s="56">
        <f>'[2]Изложницы без бурта'!K417</f>
        <v>0</v>
      </c>
    </row>
    <row r="418" spans="28:39" x14ac:dyDescent="0.25">
      <c r="AB418" s="258" t="str">
        <f t="shared" si="16"/>
        <v/>
      </c>
      <c r="AC418" s="259" t="str">
        <f>IF(COUNTIF(AD$78:AD418,AD418)=1,MAX(AC$78:AC417)+1,"")</f>
        <v/>
      </c>
      <c r="AD418" s="220">
        <f>'[2]Изложницы без бурта'!B418</f>
        <v>187.5</v>
      </c>
      <c r="AE418" s="220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611</v>
      </c>
      <c r="AM418" s="56">
        <f>'[2]Изложницы без бурта'!K418</f>
        <v>0</v>
      </c>
    </row>
    <row r="419" spans="28:39" x14ac:dyDescent="0.25">
      <c r="AB419" s="258" t="str">
        <f t="shared" si="16"/>
        <v/>
      </c>
      <c r="AC419" s="259" t="str">
        <f>IF(COUNTIF(AD$78:AD419,AD419)=1,MAX(AC$78:AC418)+1,"")</f>
        <v/>
      </c>
      <c r="AD419" s="220">
        <f>'[2]Изложницы без бурта'!B419</f>
        <v>187.5</v>
      </c>
      <c r="AE419" s="220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611</v>
      </c>
      <c r="AM419" s="56">
        <f>'[2]Изложницы без бурта'!K419</f>
        <v>0</v>
      </c>
    </row>
    <row r="420" spans="28:39" x14ac:dyDescent="0.25">
      <c r="AB420" s="258" t="str">
        <f t="shared" si="16"/>
        <v/>
      </c>
      <c r="AC420" s="259" t="str">
        <f>IF(COUNTIF(AD$78:AD420,AD420)=1,MAX(AC$78:AC419)+1,"")</f>
        <v/>
      </c>
      <c r="AD420" s="220">
        <f>'[2]Изложницы без бурта'!B420</f>
        <v>187.5</v>
      </c>
      <c r="AE420" s="220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611</v>
      </c>
      <c r="AM420" s="56">
        <f>'[2]Изложницы без бурта'!K420</f>
        <v>0</v>
      </c>
    </row>
    <row r="421" spans="28:39" x14ac:dyDescent="0.25">
      <c r="AB421" s="258" t="str">
        <f t="shared" si="16"/>
        <v/>
      </c>
      <c r="AC421" s="259" t="str">
        <f>IF(COUNTIF(AD$78:AD421,AD421)=1,MAX(AC$78:AC420)+1,"")</f>
        <v/>
      </c>
      <c r="AD421" s="220">
        <f>'[2]Изложницы без бурта'!B421</f>
        <v>187.5</v>
      </c>
      <c r="AE421" s="220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611</v>
      </c>
      <c r="AM421" s="56">
        <f>'[2]Изложницы без бурта'!K421</f>
        <v>0</v>
      </c>
    </row>
    <row r="422" spans="28:39" x14ac:dyDescent="0.25">
      <c r="AB422" s="258" t="str">
        <f t="shared" si="16"/>
        <v/>
      </c>
      <c r="AC422" s="259" t="str">
        <f>IF(COUNTIF(AD$78:AD422,AD422)=1,MAX(AC$78:AC421)+1,"")</f>
        <v/>
      </c>
      <c r="AD422" s="220">
        <f>'[2]Изложницы без бурта'!B422</f>
        <v>187.5</v>
      </c>
      <c r="AE422" s="220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611</v>
      </c>
      <c r="AM422" s="56">
        <f>'[2]Изложницы без бурта'!K422</f>
        <v>0</v>
      </c>
    </row>
    <row r="423" spans="28:39" x14ac:dyDescent="0.25">
      <c r="AB423" s="258" t="str">
        <f t="shared" si="16"/>
        <v/>
      </c>
      <c r="AC423" s="259" t="str">
        <f>IF(COUNTIF(AD$78:AD423,AD423)=1,MAX(AC$78:AC422)+1,"")</f>
        <v/>
      </c>
      <c r="AD423" s="220">
        <f>'[2]Изложницы без бурта'!B423</f>
        <v>187.5</v>
      </c>
      <c r="AE423" s="220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611</v>
      </c>
      <c r="AM423" s="56">
        <f>'[2]Изложницы без бурта'!K423</f>
        <v>0</v>
      </c>
    </row>
    <row r="424" spans="28:39" x14ac:dyDescent="0.25">
      <c r="AB424" s="258" t="str">
        <f t="shared" si="16"/>
        <v/>
      </c>
      <c r="AC424" s="259" t="str">
        <f>IF(COUNTIF(AD$78:AD424,AD424)=1,MAX(AC$78:AC423)+1,"")</f>
        <v/>
      </c>
      <c r="AD424" s="220">
        <f>'[2]Изложницы без бурта'!B424</f>
        <v>187.5</v>
      </c>
      <c r="AE424" s="220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611</v>
      </c>
      <c r="AM424" s="56">
        <f>'[2]Изложницы без бурта'!K424</f>
        <v>0</v>
      </c>
    </row>
    <row r="425" spans="28:39" x14ac:dyDescent="0.25">
      <c r="AB425" s="258" t="str">
        <f t="shared" si="16"/>
        <v/>
      </c>
      <c r="AC425" s="259" t="str">
        <f>IF(COUNTIF(AD$78:AD425,AD425)=1,MAX(AC$78:AC424)+1,"")</f>
        <v/>
      </c>
      <c r="AD425" s="220">
        <f>'[2]Изложницы без бурта'!B425</f>
        <v>187.5</v>
      </c>
      <c r="AE425" s="220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611</v>
      </c>
      <c r="AM425" s="56">
        <f>'[2]Изложницы без бурта'!K425</f>
        <v>0</v>
      </c>
    </row>
    <row r="426" spans="28:39" x14ac:dyDescent="0.25">
      <c r="AB426" s="258" t="str">
        <f t="shared" si="16"/>
        <v/>
      </c>
      <c r="AC426" s="259" t="str">
        <f>IF(COUNTIF(AD$78:AD426,AD426)=1,MAX(AC$78:AC425)+1,"")</f>
        <v/>
      </c>
      <c r="AD426" s="220">
        <f>'[2]Изложницы без бурта'!B426</f>
        <v>187.5</v>
      </c>
      <c r="AE426" s="220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611</v>
      </c>
      <c r="AM426" s="56">
        <f>'[2]Изложницы без бурта'!K426</f>
        <v>0</v>
      </c>
    </row>
    <row r="427" spans="28:39" x14ac:dyDescent="0.25">
      <c r="AB427" s="258" t="str">
        <f t="shared" si="16"/>
        <v/>
      </c>
      <c r="AC427" s="259" t="str">
        <f>IF(COUNTIF(AD$78:AD427,AD427)=1,MAX(AC$78:AC426)+1,"")</f>
        <v/>
      </c>
      <c r="AD427" s="220">
        <f>'[2]Изложницы без бурта'!B427</f>
        <v>187.5</v>
      </c>
      <c r="AE427" s="220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611</v>
      </c>
      <c r="AM427" s="56">
        <f>'[2]Изложницы без бурта'!K427</f>
        <v>0</v>
      </c>
    </row>
    <row r="428" spans="28:39" x14ac:dyDescent="0.25">
      <c r="AB428" s="258" t="str">
        <f t="shared" si="16"/>
        <v/>
      </c>
      <c r="AC428" s="259" t="str">
        <f>IF(COUNTIF(AD$78:AD428,AD428)=1,MAX(AC$78:AC427)+1,"")</f>
        <v/>
      </c>
      <c r="AD428" s="220">
        <f>'[2]Изложницы без бурта'!B428</f>
        <v>187.5</v>
      </c>
      <c r="AE428" s="220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611</v>
      </c>
      <c r="AM428" s="56">
        <f>'[2]Изложницы без бурта'!K428</f>
        <v>0</v>
      </c>
    </row>
    <row r="429" spans="28:39" x14ac:dyDescent="0.25">
      <c r="AB429" s="258" t="str">
        <f t="shared" si="16"/>
        <v/>
      </c>
      <c r="AC429" s="259" t="str">
        <f>IF(COUNTIF(AD$78:AD429,AD429)=1,MAX(AC$78:AC428)+1,"")</f>
        <v/>
      </c>
      <c r="AD429" s="220">
        <f>'[2]Изложницы без бурта'!B429</f>
        <v>187.5</v>
      </c>
      <c r="AE429" s="220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611</v>
      </c>
      <c r="AM429" s="56">
        <f>'[2]Изложницы без бурта'!K429</f>
        <v>0</v>
      </c>
    </row>
    <row r="430" spans="28:39" x14ac:dyDescent="0.25">
      <c r="AB430" s="258" t="str">
        <f t="shared" si="16"/>
        <v/>
      </c>
      <c r="AC430" s="259" t="str">
        <f>IF(COUNTIF(AD$78:AD430,AD430)=1,MAX(AC$78:AC429)+1,"")</f>
        <v/>
      </c>
      <c r="AD430" s="220">
        <f>'[2]Изложницы без бурта'!B430</f>
        <v>187.5</v>
      </c>
      <c r="AE430" s="220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611</v>
      </c>
      <c r="AM430" s="56">
        <f>'[2]Изложницы без бурта'!K430</f>
        <v>0</v>
      </c>
    </row>
    <row r="431" spans="28:39" x14ac:dyDescent="0.25">
      <c r="AB431" s="258" t="str">
        <f t="shared" si="16"/>
        <v/>
      </c>
      <c r="AC431" s="259" t="str">
        <f>IF(COUNTIF(AD$78:AD431,AD431)=1,MAX(AC$78:AC430)+1,"")</f>
        <v/>
      </c>
      <c r="AD431" s="220">
        <f>'[2]Изложницы без бурта'!B431</f>
        <v>187.5</v>
      </c>
      <c r="AE431" s="220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611</v>
      </c>
      <c r="AM431" s="56">
        <f>'[2]Изложницы без бурта'!K431</f>
        <v>0</v>
      </c>
    </row>
    <row r="432" spans="28:39" x14ac:dyDescent="0.25">
      <c r="AB432" s="258" t="str">
        <f t="shared" si="16"/>
        <v/>
      </c>
      <c r="AC432" s="259" t="str">
        <f>IF(COUNTIF(AD$78:AD432,AD432)=1,MAX(AC$78:AC431)+1,"")</f>
        <v/>
      </c>
      <c r="AD432" s="220">
        <f>'[2]Изложницы без бурта'!B432</f>
        <v>187.5</v>
      </c>
      <c r="AE432" s="220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611</v>
      </c>
      <c r="AM432" s="56">
        <f>'[2]Изложницы без бурта'!K432</f>
        <v>0</v>
      </c>
    </row>
    <row r="433" spans="28:39" x14ac:dyDescent="0.25">
      <c r="AB433" s="258" t="str">
        <f t="shared" si="16"/>
        <v/>
      </c>
      <c r="AC433" s="259" t="str">
        <f>IF(COUNTIF(AD$78:AD433,AD433)=1,MAX(AC$78:AC432)+1,"")</f>
        <v/>
      </c>
      <c r="AD433" s="220">
        <f>'[2]Изложницы без бурта'!B433</f>
        <v>187.5</v>
      </c>
      <c r="AE433" s="220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611</v>
      </c>
      <c r="AM433" s="56">
        <f>'[2]Изложницы без бурта'!K433</f>
        <v>0</v>
      </c>
    </row>
    <row r="434" spans="28:39" x14ac:dyDescent="0.25">
      <c r="AB434" s="258" t="str">
        <f t="shared" si="16"/>
        <v/>
      </c>
      <c r="AC434" s="259">
        <f>IF(COUNTIF(AD$78:AD434,AD434)=1,MAX(AC$78:AC433)+1,"")</f>
        <v>41</v>
      </c>
      <c r="AD434" s="220">
        <f>'[2]Изложницы без бурта'!B434</f>
        <v>190</v>
      </c>
      <c r="AE434" s="220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612</v>
      </c>
      <c r="AM434" s="56">
        <f>'[2]Изложницы без бурта'!K434</f>
        <v>0</v>
      </c>
    </row>
    <row r="435" spans="28:39" x14ac:dyDescent="0.25">
      <c r="AB435" s="258" t="str">
        <f t="shared" si="16"/>
        <v/>
      </c>
      <c r="AC435" s="259" t="str">
        <f>IF(COUNTIF(AD$78:AD435,AD435)=1,MAX(AC$78:AC434)+1,"")</f>
        <v/>
      </c>
      <c r="AD435" s="220">
        <f>'[2]Изложницы без бурта'!B435</f>
        <v>190</v>
      </c>
      <c r="AE435" s="220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612</v>
      </c>
      <c r="AM435" s="56">
        <f>'[2]Изложницы без бурта'!K435</f>
        <v>0</v>
      </c>
    </row>
    <row r="436" spans="28:39" x14ac:dyDescent="0.25">
      <c r="AB436" s="258" t="str">
        <f t="shared" si="16"/>
        <v/>
      </c>
      <c r="AC436" s="259" t="str">
        <f>IF(COUNTIF(AD$78:AD436,AD436)=1,MAX(AC$78:AC435)+1,"")</f>
        <v/>
      </c>
      <c r="AD436" s="220">
        <f>'[2]Изложницы без бурта'!B436</f>
        <v>190</v>
      </c>
      <c r="AE436" s="220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612</v>
      </c>
      <c r="AM436" s="56">
        <f>'[2]Изложницы без бурта'!K436</f>
        <v>0</v>
      </c>
    </row>
    <row r="437" spans="28:39" x14ac:dyDescent="0.25">
      <c r="AB437" s="258" t="str">
        <f t="shared" si="16"/>
        <v/>
      </c>
      <c r="AC437" s="259" t="str">
        <f>IF(COUNTIF(AD$78:AD437,AD437)=1,MAX(AC$78:AC436)+1,"")</f>
        <v/>
      </c>
      <c r="AD437" s="220">
        <f>'[2]Изложницы без бурта'!B437</f>
        <v>190</v>
      </c>
      <c r="AE437" s="220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612</v>
      </c>
      <c r="AM437" s="56">
        <f>'[2]Изложницы без бурта'!K437</f>
        <v>0</v>
      </c>
    </row>
    <row r="438" spans="28:39" x14ac:dyDescent="0.25">
      <c r="AB438" s="258" t="str">
        <f t="shared" si="16"/>
        <v/>
      </c>
      <c r="AC438" s="259" t="str">
        <f>IF(COUNTIF(AD$78:AD438,AD438)=1,MAX(AC$78:AC437)+1,"")</f>
        <v/>
      </c>
      <c r="AD438" s="220">
        <f>'[2]Изложницы без бурта'!B438</f>
        <v>190</v>
      </c>
      <c r="AE438" s="220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612</v>
      </c>
      <c r="AM438" s="56">
        <f>'[2]Изложницы без бурта'!K438</f>
        <v>0</v>
      </c>
    </row>
    <row r="439" spans="28:39" x14ac:dyDescent="0.25">
      <c r="AB439" s="258" t="str">
        <f t="shared" si="16"/>
        <v/>
      </c>
      <c r="AC439" s="259" t="str">
        <f>IF(COUNTIF(AD$78:AD439,AD439)=1,MAX(AC$78:AC438)+1,"")</f>
        <v/>
      </c>
      <c r="AD439" s="220">
        <f>'[2]Изложницы без бурта'!B439</f>
        <v>190</v>
      </c>
      <c r="AE439" s="220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612</v>
      </c>
      <c r="AM439" s="56">
        <f>'[2]Изложницы без бурта'!K439</f>
        <v>0</v>
      </c>
    </row>
    <row r="440" spans="28:39" x14ac:dyDescent="0.25">
      <c r="AB440" s="258" t="str">
        <f t="shared" si="16"/>
        <v/>
      </c>
      <c r="AC440" s="259" t="str">
        <f>IF(COUNTIF(AD$78:AD440,AD440)=1,MAX(AC$78:AC439)+1,"")</f>
        <v/>
      </c>
      <c r="AD440" s="220">
        <f>'[2]Изложницы без бурта'!B440</f>
        <v>190</v>
      </c>
      <c r="AE440" s="220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612</v>
      </c>
      <c r="AM440" s="56">
        <f>'[2]Изложницы без бурта'!K440</f>
        <v>0</v>
      </c>
    </row>
    <row r="441" spans="28:39" x14ac:dyDescent="0.25">
      <c r="AB441" s="258" t="str">
        <f t="shared" ref="AB441:AB504" si="17">IF(MAX(AC441:AC1518)&lt;ROW(363:363),"",VLOOKUP(ROW(363:363),AC441:AD1518,2))</f>
        <v/>
      </c>
      <c r="AC441" s="259" t="str">
        <f>IF(COUNTIF(AD$78:AD441,AD441)=1,MAX(AC$78:AC440)+1,"")</f>
        <v/>
      </c>
      <c r="AD441" s="220">
        <f>'[2]Изложницы без бурта'!B441</f>
        <v>190</v>
      </c>
      <c r="AE441" s="220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612</v>
      </c>
      <c r="AM441" s="56">
        <f>'[2]Изложницы без бурта'!K441</f>
        <v>0</v>
      </c>
    </row>
    <row r="442" spans="28:39" x14ac:dyDescent="0.25">
      <c r="AB442" s="258" t="str">
        <f t="shared" si="17"/>
        <v/>
      </c>
      <c r="AC442" s="259" t="str">
        <f>IF(COUNTIF(AD$78:AD442,AD442)=1,MAX(AC$78:AC441)+1,"")</f>
        <v/>
      </c>
      <c r="AD442" s="220">
        <f>'[2]Изложницы без бурта'!B442</f>
        <v>190</v>
      </c>
      <c r="AE442" s="220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612</v>
      </c>
      <c r="AM442" s="56">
        <f>'[2]Изложницы без бурта'!K442</f>
        <v>0</v>
      </c>
    </row>
    <row r="443" spans="28:39" x14ac:dyDescent="0.25">
      <c r="AB443" s="258" t="str">
        <f t="shared" si="17"/>
        <v/>
      </c>
      <c r="AC443" s="259" t="str">
        <f>IF(COUNTIF(AD$78:AD443,AD443)=1,MAX(AC$78:AC442)+1,"")</f>
        <v/>
      </c>
      <c r="AD443" s="220">
        <f>'[2]Изложницы без бурта'!B443</f>
        <v>190</v>
      </c>
      <c r="AE443" s="220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612</v>
      </c>
      <c r="AM443" s="56">
        <f>'[2]Изложницы без бурта'!K443</f>
        <v>0</v>
      </c>
    </row>
    <row r="444" spans="28:39" x14ac:dyDescent="0.25">
      <c r="AB444" s="258" t="str">
        <f t="shared" si="17"/>
        <v/>
      </c>
      <c r="AC444" s="259" t="str">
        <f>IF(COUNTIF(AD$78:AD444,AD444)=1,MAX(AC$78:AC443)+1,"")</f>
        <v/>
      </c>
      <c r="AD444" s="220">
        <f>'[2]Изложницы без бурта'!B444</f>
        <v>190</v>
      </c>
      <c r="AE444" s="220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612</v>
      </c>
      <c r="AM444" s="56">
        <f>'[2]Изложницы без бурта'!K444</f>
        <v>0</v>
      </c>
    </row>
    <row r="445" spans="28:39" x14ac:dyDescent="0.25">
      <c r="AB445" s="258" t="str">
        <f t="shared" si="17"/>
        <v/>
      </c>
      <c r="AC445" s="259" t="str">
        <f>IF(COUNTIF(AD$78:AD445,AD445)=1,MAX(AC$78:AC444)+1,"")</f>
        <v/>
      </c>
      <c r="AD445" s="220">
        <f>'[2]Изложницы без бурта'!B445</f>
        <v>190</v>
      </c>
      <c r="AE445" s="220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612</v>
      </c>
      <c r="AM445" s="56">
        <f>'[2]Изложницы без бурта'!K445</f>
        <v>0</v>
      </c>
    </row>
    <row r="446" spans="28:39" x14ac:dyDescent="0.25">
      <c r="AB446" s="258" t="str">
        <f t="shared" si="17"/>
        <v/>
      </c>
      <c r="AC446" s="259" t="str">
        <f>IF(COUNTIF(AD$78:AD446,AD446)=1,MAX(AC$78:AC445)+1,"")</f>
        <v/>
      </c>
      <c r="AD446" s="220">
        <f>'[2]Изложницы без бурта'!B446</f>
        <v>190</v>
      </c>
      <c r="AE446" s="220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612</v>
      </c>
      <c r="AM446" s="56">
        <f>'[2]Изложницы без бурта'!K446</f>
        <v>0</v>
      </c>
    </row>
    <row r="447" spans="28:39" x14ac:dyDescent="0.25">
      <c r="AB447" s="258" t="str">
        <f t="shared" si="17"/>
        <v/>
      </c>
      <c r="AC447" s="259" t="str">
        <f>IF(COUNTIF(AD$78:AD447,AD447)=1,MAX(AC$78:AC446)+1,"")</f>
        <v/>
      </c>
      <c r="AD447" s="220">
        <f>'[2]Изложницы без бурта'!B447</f>
        <v>190</v>
      </c>
      <c r="AE447" s="220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612</v>
      </c>
      <c r="AM447" s="56">
        <f>'[2]Изложницы без бурта'!K447</f>
        <v>0</v>
      </c>
    </row>
    <row r="448" spans="28:39" x14ac:dyDescent="0.25">
      <c r="AB448" s="258" t="str">
        <f t="shared" si="17"/>
        <v/>
      </c>
      <c r="AC448" s="259" t="str">
        <f>IF(COUNTIF(AD$78:AD448,AD448)=1,MAX(AC$78:AC447)+1,"")</f>
        <v/>
      </c>
      <c r="AD448" s="220">
        <f>'[2]Изложницы без бурта'!B448</f>
        <v>190</v>
      </c>
      <c r="AE448" s="220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612</v>
      </c>
      <c r="AM448" s="56">
        <f>'[2]Изложницы без бурта'!K448</f>
        <v>0</v>
      </c>
    </row>
    <row r="449" spans="28:39" x14ac:dyDescent="0.25">
      <c r="AB449" s="258" t="str">
        <f t="shared" si="17"/>
        <v/>
      </c>
      <c r="AC449" s="259" t="str">
        <f>IF(COUNTIF(AD$78:AD449,AD449)=1,MAX(AC$78:AC448)+1,"")</f>
        <v/>
      </c>
      <c r="AD449" s="220">
        <f>'[2]Изложницы без бурта'!B449</f>
        <v>190</v>
      </c>
      <c r="AE449" s="220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612</v>
      </c>
      <c r="AM449" s="56">
        <f>'[2]Изложницы без бурта'!K449</f>
        <v>0</v>
      </c>
    </row>
    <row r="450" spans="28:39" x14ac:dyDescent="0.25">
      <c r="AB450" s="258" t="str">
        <f t="shared" si="17"/>
        <v/>
      </c>
      <c r="AC450" s="259" t="str">
        <f>IF(COUNTIF(AD$78:AD450,AD450)=1,MAX(AC$78:AC449)+1,"")</f>
        <v/>
      </c>
      <c r="AD450" s="220">
        <f>'[2]Изложницы без бурта'!B450</f>
        <v>190</v>
      </c>
      <c r="AE450" s="220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612</v>
      </c>
      <c r="AM450" s="56">
        <f>'[2]Изложницы без бурта'!K450</f>
        <v>0</v>
      </c>
    </row>
    <row r="451" spans="28:39" x14ac:dyDescent="0.25">
      <c r="AB451" s="258" t="str">
        <f t="shared" si="17"/>
        <v/>
      </c>
      <c r="AC451" s="259" t="str">
        <f>IF(COUNTIF(AD$78:AD451,AD451)=1,MAX(AC$78:AC450)+1,"")</f>
        <v/>
      </c>
      <c r="AD451" s="220">
        <f>'[2]Изложницы без бурта'!B451</f>
        <v>190</v>
      </c>
      <c r="AE451" s="220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612</v>
      </c>
      <c r="AM451" s="56">
        <f>'[2]Изложницы без бурта'!K451</f>
        <v>0</v>
      </c>
    </row>
    <row r="452" spans="28:39" x14ac:dyDescent="0.25">
      <c r="AB452" s="258" t="str">
        <f t="shared" si="17"/>
        <v/>
      </c>
      <c r="AC452" s="259" t="str">
        <f>IF(COUNTIF(AD$78:AD452,AD452)=1,MAX(AC$78:AC451)+1,"")</f>
        <v/>
      </c>
      <c r="AD452" s="220">
        <f>'[2]Изложницы без бурта'!B452</f>
        <v>190</v>
      </c>
      <c r="AE452" s="220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612</v>
      </c>
      <c r="AM452" s="56">
        <f>'[2]Изложницы без бурта'!K452</f>
        <v>0</v>
      </c>
    </row>
    <row r="453" spans="28:39" x14ac:dyDescent="0.25">
      <c r="AB453" s="258" t="str">
        <f t="shared" si="17"/>
        <v/>
      </c>
      <c r="AC453" s="259" t="str">
        <f>IF(COUNTIF(AD$78:AD453,AD453)=1,MAX(AC$78:AC452)+1,"")</f>
        <v/>
      </c>
      <c r="AD453" s="220">
        <f>'[2]Изложницы без бурта'!B453</f>
        <v>190</v>
      </c>
      <c r="AE453" s="220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612</v>
      </c>
      <c r="AM453" s="56">
        <f>'[2]Изложницы без бурта'!K453</f>
        <v>0</v>
      </c>
    </row>
    <row r="454" spans="28:39" x14ac:dyDescent="0.25">
      <c r="AB454" s="258" t="str">
        <f t="shared" si="17"/>
        <v/>
      </c>
      <c r="AC454" s="259" t="str">
        <f>IF(COUNTIF(AD$78:AD454,AD454)=1,MAX(AC$78:AC453)+1,"")</f>
        <v/>
      </c>
      <c r="AD454" s="220">
        <f>'[2]Изложницы без бурта'!B454</f>
        <v>190</v>
      </c>
      <c r="AE454" s="220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612</v>
      </c>
      <c r="AM454" s="56">
        <f>'[2]Изложницы без бурта'!K454</f>
        <v>0</v>
      </c>
    </row>
    <row r="455" spans="28:39" x14ac:dyDescent="0.25">
      <c r="AB455" s="258" t="str">
        <f t="shared" si="17"/>
        <v/>
      </c>
      <c r="AC455" s="259" t="str">
        <f>IF(COUNTIF(AD$78:AD455,AD455)=1,MAX(AC$78:AC454)+1,"")</f>
        <v/>
      </c>
      <c r="AD455" s="220">
        <f>'[2]Изложницы без бурта'!B455</f>
        <v>190</v>
      </c>
      <c r="AE455" s="220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612</v>
      </c>
      <c r="AM455" s="56">
        <f>'[2]Изложницы без бурта'!K455</f>
        <v>0</v>
      </c>
    </row>
    <row r="456" spans="28:39" x14ac:dyDescent="0.25">
      <c r="AB456" s="258" t="str">
        <f t="shared" si="17"/>
        <v/>
      </c>
      <c r="AC456" s="259" t="str">
        <f>IF(COUNTIF(AD$78:AD456,AD456)=1,MAX(AC$78:AC455)+1,"")</f>
        <v/>
      </c>
      <c r="AD456" s="220">
        <f>'[2]Изложницы без бурта'!B456</f>
        <v>190</v>
      </c>
      <c r="AE456" s="220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612</v>
      </c>
      <c r="AM456" s="56">
        <f>'[2]Изложницы без бурта'!K456</f>
        <v>0</v>
      </c>
    </row>
    <row r="457" spans="28:39" x14ac:dyDescent="0.25">
      <c r="AB457" s="258" t="str">
        <f t="shared" si="17"/>
        <v/>
      </c>
      <c r="AC457" s="259" t="str">
        <f>IF(COUNTIF(AD$78:AD457,AD457)=1,MAX(AC$78:AC456)+1,"")</f>
        <v/>
      </c>
      <c r="AD457" s="220">
        <f>'[2]Изложницы без бурта'!B457</f>
        <v>190</v>
      </c>
      <c r="AE457" s="220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612</v>
      </c>
      <c r="AM457" s="56">
        <f>'[2]Изложницы без бурта'!K457</f>
        <v>0</v>
      </c>
    </row>
    <row r="458" spans="28:39" x14ac:dyDescent="0.25">
      <c r="AB458" s="258" t="str">
        <f t="shared" si="17"/>
        <v/>
      </c>
      <c r="AC458" s="259" t="str">
        <f>IF(COUNTIF(AD$78:AD458,AD458)=1,MAX(AC$78:AC457)+1,"")</f>
        <v/>
      </c>
      <c r="AD458" s="220">
        <f>'[2]Изложницы без бурта'!B458</f>
        <v>190</v>
      </c>
      <c r="AE458" s="220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612</v>
      </c>
      <c r="AM458" s="56">
        <f>'[2]Изложницы без бурта'!K458</f>
        <v>0</v>
      </c>
    </row>
    <row r="459" spans="28:39" x14ac:dyDescent="0.25">
      <c r="AB459" s="258" t="str">
        <f t="shared" si="17"/>
        <v/>
      </c>
      <c r="AC459" s="259" t="str">
        <f>IF(COUNTIF(AD$78:AD459,AD459)=1,MAX(AC$78:AC458)+1,"")</f>
        <v/>
      </c>
      <c r="AD459" s="220">
        <f>'[2]Изложницы без бурта'!B459</f>
        <v>190</v>
      </c>
      <c r="AE459" s="220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612</v>
      </c>
      <c r="AM459" s="56">
        <f>'[2]Изложницы без бурта'!K459</f>
        <v>0</v>
      </c>
    </row>
    <row r="460" spans="28:39" x14ac:dyDescent="0.25">
      <c r="AB460" s="258" t="str">
        <f t="shared" si="17"/>
        <v/>
      </c>
      <c r="AC460" s="259" t="str">
        <f>IF(COUNTIF(AD$78:AD460,AD460)=1,MAX(AC$78:AC459)+1,"")</f>
        <v/>
      </c>
      <c r="AD460" s="220">
        <f>'[2]Изложницы без бурта'!B460</f>
        <v>190</v>
      </c>
      <c r="AE460" s="220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612</v>
      </c>
      <c r="AM460" s="56">
        <f>'[2]Изложницы без бурта'!K460</f>
        <v>0</v>
      </c>
    </row>
    <row r="461" spans="28:39" x14ac:dyDescent="0.25">
      <c r="AB461" s="258" t="str">
        <f t="shared" si="17"/>
        <v/>
      </c>
      <c r="AC461" s="259" t="str">
        <f>IF(COUNTIF(AD$78:AD461,AD461)=1,MAX(AC$78:AC460)+1,"")</f>
        <v/>
      </c>
      <c r="AD461" s="220">
        <f>'[2]Изложницы без бурта'!B461</f>
        <v>190</v>
      </c>
      <c r="AE461" s="220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612</v>
      </c>
      <c r="AM461" s="56">
        <f>'[2]Изложницы без бурта'!K461</f>
        <v>0</v>
      </c>
    </row>
    <row r="462" spans="28:39" x14ac:dyDescent="0.25">
      <c r="AB462" s="258" t="str">
        <f t="shared" si="17"/>
        <v/>
      </c>
      <c r="AC462" s="259" t="str">
        <f>IF(COUNTIF(AD$78:AD462,AD462)=1,MAX(AC$78:AC461)+1,"")</f>
        <v/>
      </c>
      <c r="AD462" s="220">
        <f>'[2]Изложницы без бурта'!B462</f>
        <v>190</v>
      </c>
      <c r="AE462" s="220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612</v>
      </c>
      <c r="AM462" s="56">
        <f>'[2]Изложницы без бурта'!K462</f>
        <v>0</v>
      </c>
    </row>
    <row r="463" spans="28:39" x14ac:dyDescent="0.25">
      <c r="AB463" s="258" t="str">
        <f t="shared" si="17"/>
        <v/>
      </c>
      <c r="AC463" s="259" t="str">
        <f>IF(COUNTIF(AD$78:AD463,AD463)=1,MAX(AC$78:AC462)+1,"")</f>
        <v/>
      </c>
      <c r="AD463" s="220">
        <f>'[2]Изложницы без бурта'!B463</f>
        <v>190</v>
      </c>
      <c r="AE463" s="220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612</v>
      </c>
      <c r="AM463" s="56">
        <f>'[2]Изложницы без бурта'!K463</f>
        <v>0</v>
      </c>
    </row>
    <row r="464" spans="28:39" x14ac:dyDescent="0.25">
      <c r="AB464" s="258" t="str">
        <f t="shared" si="17"/>
        <v/>
      </c>
      <c r="AC464" s="259" t="str">
        <f>IF(COUNTIF(AD$78:AD464,AD464)=1,MAX(AC$78:AC463)+1,"")</f>
        <v/>
      </c>
      <c r="AD464" s="220">
        <f>'[2]Изложницы без бурта'!B464</f>
        <v>190</v>
      </c>
      <c r="AE464" s="220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612</v>
      </c>
      <c r="AM464" s="56">
        <f>'[2]Изложницы без бурта'!K464</f>
        <v>0</v>
      </c>
    </row>
    <row r="465" spans="28:39" x14ac:dyDescent="0.25">
      <c r="AB465" s="258" t="str">
        <f t="shared" si="17"/>
        <v/>
      </c>
      <c r="AC465" s="259">
        <f>IF(COUNTIF(AD$78:AD465,AD465)=1,MAX(AC$78:AC464)+1,"")</f>
        <v>42</v>
      </c>
      <c r="AD465" s="220">
        <f>'[2]Изложницы без бурта'!B465</f>
        <v>192.5</v>
      </c>
      <c r="AE465" s="220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613</v>
      </c>
      <c r="AM465" s="56">
        <f>'[2]Изложницы без бурта'!K465</f>
        <v>0</v>
      </c>
    </row>
    <row r="466" spans="28:39" x14ac:dyDescent="0.25">
      <c r="AB466" s="258" t="str">
        <f t="shared" si="17"/>
        <v/>
      </c>
      <c r="AC466" s="259" t="str">
        <f>IF(COUNTIF(AD$78:AD466,AD466)=1,MAX(AC$78:AC465)+1,"")</f>
        <v/>
      </c>
      <c r="AD466" s="220">
        <f>'[2]Изложницы без бурта'!B466</f>
        <v>192.5</v>
      </c>
      <c r="AE466" s="220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613</v>
      </c>
      <c r="AM466" s="56">
        <f>'[2]Изложницы без бурта'!K466</f>
        <v>0</v>
      </c>
    </row>
    <row r="467" spans="28:39" x14ac:dyDescent="0.25">
      <c r="AB467" s="258" t="str">
        <f t="shared" si="17"/>
        <v/>
      </c>
      <c r="AC467" s="259" t="str">
        <f>IF(COUNTIF(AD$78:AD467,AD467)=1,MAX(AC$78:AC466)+1,"")</f>
        <v/>
      </c>
      <c r="AD467" s="220">
        <f>'[2]Изложницы без бурта'!B467</f>
        <v>192.5</v>
      </c>
      <c r="AE467" s="220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613</v>
      </c>
      <c r="AM467" s="56">
        <f>'[2]Изложницы без бурта'!K467</f>
        <v>0</v>
      </c>
    </row>
    <row r="468" spans="28:39" x14ac:dyDescent="0.25">
      <c r="AB468" s="258" t="str">
        <f t="shared" si="17"/>
        <v/>
      </c>
      <c r="AC468" s="259" t="str">
        <f>IF(COUNTIF(AD$78:AD468,AD468)=1,MAX(AC$78:AC467)+1,"")</f>
        <v/>
      </c>
      <c r="AD468" s="220">
        <f>'[2]Изложницы без бурта'!B468</f>
        <v>192.5</v>
      </c>
      <c r="AE468" s="220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613</v>
      </c>
      <c r="AM468" s="56">
        <f>'[2]Изложницы без бурта'!K468</f>
        <v>0</v>
      </c>
    </row>
    <row r="469" spans="28:39" x14ac:dyDescent="0.25">
      <c r="AB469" s="258" t="str">
        <f t="shared" si="17"/>
        <v/>
      </c>
      <c r="AC469" s="259" t="str">
        <f>IF(COUNTIF(AD$78:AD469,AD469)=1,MAX(AC$78:AC468)+1,"")</f>
        <v/>
      </c>
      <c r="AD469" s="220">
        <f>'[2]Изложницы без бурта'!B469</f>
        <v>192.5</v>
      </c>
      <c r="AE469" s="220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613</v>
      </c>
      <c r="AM469" s="56">
        <f>'[2]Изложницы без бурта'!K469</f>
        <v>0</v>
      </c>
    </row>
    <row r="470" spans="28:39" x14ac:dyDescent="0.25">
      <c r="AB470" s="258" t="str">
        <f t="shared" si="17"/>
        <v/>
      </c>
      <c r="AC470" s="259" t="str">
        <f>IF(COUNTIF(AD$78:AD470,AD470)=1,MAX(AC$78:AC469)+1,"")</f>
        <v/>
      </c>
      <c r="AD470" s="220">
        <f>'[2]Изложницы без бурта'!B470</f>
        <v>192.5</v>
      </c>
      <c r="AE470" s="220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613</v>
      </c>
      <c r="AM470" s="56">
        <f>'[2]Изложницы без бурта'!K470</f>
        <v>0</v>
      </c>
    </row>
    <row r="471" spans="28:39" x14ac:dyDescent="0.25">
      <c r="AB471" s="258" t="str">
        <f t="shared" si="17"/>
        <v/>
      </c>
      <c r="AC471" s="259" t="str">
        <f>IF(COUNTIF(AD$78:AD471,AD471)=1,MAX(AC$78:AC470)+1,"")</f>
        <v/>
      </c>
      <c r="AD471" s="220">
        <f>'[2]Изложницы без бурта'!B471</f>
        <v>192.5</v>
      </c>
      <c r="AE471" s="220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613</v>
      </c>
      <c r="AM471" s="56">
        <f>'[2]Изложницы без бурта'!K471</f>
        <v>0</v>
      </c>
    </row>
    <row r="472" spans="28:39" x14ac:dyDescent="0.25">
      <c r="AB472" s="258" t="str">
        <f t="shared" si="17"/>
        <v/>
      </c>
      <c r="AC472" s="259" t="str">
        <f>IF(COUNTIF(AD$78:AD472,AD472)=1,MAX(AC$78:AC471)+1,"")</f>
        <v/>
      </c>
      <c r="AD472" s="220">
        <f>'[2]Изложницы без бурта'!B472</f>
        <v>192.5</v>
      </c>
      <c r="AE472" s="220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613</v>
      </c>
      <c r="AM472" s="56">
        <f>'[2]Изложницы без бурта'!K472</f>
        <v>0</v>
      </c>
    </row>
    <row r="473" spans="28:39" x14ac:dyDescent="0.25">
      <c r="AB473" s="258" t="str">
        <f t="shared" si="17"/>
        <v/>
      </c>
      <c r="AC473" s="259" t="str">
        <f>IF(COUNTIF(AD$78:AD473,AD473)=1,MAX(AC$78:AC472)+1,"")</f>
        <v/>
      </c>
      <c r="AD473" s="220">
        <f>'[2]Изложницы без бурта'!B473</f>
        <v>192.5</v>
      </c>
      <c r="AE473" s="220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613</v>
      </c>
      <c r="AM473" s="56">
        <f>'[2]Изложницы без бурта'!K473</f>
        <v>0</v>
      </c>
    </row>
    <row r="474" spans="28:39" x14ac:dyDescent="0.25">
      <c r="AB474" s="258" t="str">
        <f t="shared" si="17"/>
        <v/>
      </c>
      <c r="AC474" s="259" t="str">
        <f>IF(COUNTIF(AD$78:AD474,AD474)=1,MAX(AC$78:AC473)+1,"")</f>
        <v/>
      </c>
      <c r="AD474" s="220">
        <f>'[2]Изложницы без бурта'!B474</f>
        <v>192.5</v>
      </c>
      <c r="AE474" s="220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613</v>
      </c>
      <c r="AM474" s="56">
        <f>'[2]Изложницы без бурта'!K474</f>
        <v>0</v>
      </c>
    </row>
    <row r="475" spans="28:39" x14ac:dyDescent="0.25">
      <c r="AB475" s="258" t="str">
        <f t="shared" si="17"/>
        <v/>
      </c>
      <c r="AC475" s="259" t="str">
        <f>IF(COUNTIF(AD$78:AD475,AD475)=1,MAX(AC$78:AC474)+1,"")</f>
        <v/>
      </c>
      <c r="AD475" s="220">
        <f>'[2]Изложницы без бурта'!B475</f>
        <v>192.5</v>
      </c>
      <c r="AE475" s="220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613</v>
      </c>
      <c r="AM475" s="56">
        <f>'[2]Изложницы без бурта'!K475</f>
        <v>0</v>
      </c>
    </row>
    <row r="476" spans="28:39" x14ac:dyDescent="0.25">
      <c r="AB476" s="258" t="str">
        <f t="shared" si="17"/>
        <v/>
      </c>
      <c r="AC476" s="259" t="str">
        <f>IF(COUNTIF(AD$78:AD476,AD476)=1,MAX(AC$78:AC475)+1,"")</f>
        <v/>
      </c>
      <c r="AD476" s="220">
        <f>'[2]Изложницы без бурта'!B476</f>
        <v>192.5</v>
      </c>
      <c r="AE476" s="220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613</v>
      </c>
      <c r="AM476" s="56">
        <f>'[2]Изложницы без бурта'!K476</f>
        <v>0</v>
      </c>
    </row>
    <row r="477" spans="28:39" x14ac:dyDescent="0.25">
      <c r="AB477" s="258" t="str">
        <f t="shared" si="17"/>
        <v/>
      </c>
      <c r="AC477" s="259" t="str">
        <f>IF(COUNTIF(AD$78:AD477,AD477)=1,MAX(AC$78:AC476)+1,"")</f>
        <v/>
      </c>
      <c r="AD477" s="220">
        <f>'[2]Изложницы без бурта'!B477</f>
        <v>192.5</v>
      </c>
      <c r="AE477" s="220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613</v>
      </c>
      <c r="AM477" s="56">
        <f>'[2]Изложницы без бурта'!K477</f>
        <v>0</v>
      </c>
    </row>
    <row r="478" spans="28:39" x14ac:dyDescent="0.25">
      <c r="AB478" s="258" t="str">
        <f t="shared" si="17"/>
        <v/>
      </c>
      <c r="AC478" s="259" t="str">
        <f>IF(COUNTIF(AD$78:AD478,AD478)=1,MAX(AC$78:AC477)+1,"")</f>
        <v/>
      </c>
      <c r="AD478" s="220">
        <f>'[2]Изложницы без бурта'!B478</f>
        <v>192.5</v>
      </c>
      <c r="AE478" s="220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613</v>
      </c>
      <c r="AM478" s="56">
        <f>'[2]Изложницы без бурта'!K478</f>
        <v>0</v>
      </c>
    </row>
    <row r="479" spans="28:39" x14ac:dyDescent="0.25">
      <c r="AB479" s="258" t="str">
        <f t="shared" si="17"/>
        <v/>
      </c>
      <c r="AC479" s="259" t="str">
        <f>IF(COUNTIF(AD$78:AD479,AD479)=1,MAX(AC$78:AC478)+1,"")</f>
        <v/>
      </c>
      <c r="AD479" s="220">
        <f>'[2]Изложницы без бурта'!B479</f>
        <v>192.5</v>
      </c>
      <c r="AE479" s="220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613</v>
      </c>
      <c r="AM479" s="56">
        <f>'[2]Изложницы без бурта'!K479</f>
        <v>0</v>
      </c>
    </row>
    <row r="480" spans="28:39" x14ac:dyDescent="0.25">
      <c r="AB480" s="258" t="str">
        <f t="shared" si="17"/>
        <v/>
      </c>
      <c r="AC480" s="259" t="str">
        <f>IF(COUNTIF(AD$78:AD480,AD480)=1,MAX(AC$78:AC479)+1,"")</f>
        <v/>
      </c>
      <c r="AD480" s="220">
        <f>'[2]Изложницы без бурта'!B480</f>
        <v>192.5</v>
      </c>
      <c r="AE480" s="220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613</v>
      </c>
      <c r="AM480" s="56">
        <f>'[2]Изложницы без бурта'!K480</f>
        <v>0</v>
      </c>
    </row>
    <row r="481" spans="28:39" x14ac:dyDescent="0.25">
      <c r="AB481" s="258" t="str">
        <f t="shared" si="17"/>
        <v/>
      </c>
      <c r="AC481" s="259" t="str">
        <f>IF(COUNTIF(AD$78:AD481,AD481)=1,MAX(AC$78:AC480)+1,"")</f>
        <v/>
      </c>
      <c r="AD481" s="220">
        <f>'[2]Изложницы без бурта'!B481</f>
        <v>192.5</v>
      </c>
      <c r="AE481" s="220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613</v>
      </c>
      <c r="AM481" s="56">
        <f>'[2]Изложницы без бурта'!K481</f>
        <v>0</v>
      </c>
    </row>
    <row r="482" spans="28:39" x14ac:dyDescent="0.25">
      <c r="AB482" s="258" t="str">
        <f t="shared" si="17"/>
        <v/>
      </c>
      <c r="AC482" s="259" t="str">
        <f>IF(COUNTIF(AD$78:AD482,AD482)=1,MAX(AC$78:AC481)+1,"")</f>
        <v/>
      </c>
      <c r="AD482" s="220">
        <f>'[2]Изложницы без бурта'!B482</f>
        <v>192.5</v>
      </c>
      <c r="AE482" s="220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613</v>
      </c>
      <c r="AM482" s="56">
        <f>'[2]Изложницы без бурта'!K482</f>
        <v>0</v>
      </c>
    </row>
    <row r="483" spans="28:39" x14ac:dyDescent="0.25">
      <c r="AB483" s="258" t="str">
        <f t="shared" si="17"/>
        <v/>
      </c>
      <c r="AC483" s="259" t="str">
        <f>IF(COUNTIF(AD$78:AD483,AD483)=1,MAX(AC$78:AC482)+1,"")</f>
        <v/>
      </c>
      <c r="AD483" s="220">
        <f>'[2]Изложницы без бурта'!B483</f>
        <v>192.5</v>
      </c>
      <c r="AE483" s="220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613</v>
      </c>
      <c r="AM483" s="56">
        <f>'[2]Изложницы без бурта'!K483</f>
        <v>0</v>
      </c>
    </row>
    <row r="484" spans="28:39" x14ac:dyDescent="0.25">
      <c r="AB484" s="258" t="str">
        <f t="shared" si="17"/>
        <v/>
      </c>
      <c r="AC484" s="259" t="str">
        <f>IF(COUNTIF(AD$78:AD484,AD484)=1,MAX(AC$78:AC483)+1,"")</f>
        <v/>
      </c>
      <c r="AD484" s="220">
        <f>'[2]Изложницы без бурта'!B484</f>
        <v>192.5</v>
      </c>
      <c r="AE484" s="220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613</v>
      </c>
      <c r="AM484" s="56">
        <f>'[2]Изложницы без бурта'!K484</f>
        <v>0</v>
      </c>
    </row>
    <row r="485" spans="28:39" x14ac:dyDescent="0.25">
      <c r="AB485" s="258" t="str">
        <f t="shared" si="17"/>
        <v/>
      </c>
      <c r="AC485" s="259" t="str">
        <f>IF(COUNTIF(AD$78:AD485,AD485)=1,MAX(AC$78:AC484)+1,"")</f>
        <v/>
      </c>
      <c r="AD485" s="220">
        <f>'[2]Изложницы без бурта'!B485</f>
        <v>192.5</v>
      </c>
      <c r="AE485" s="220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613</v>
      </c>
      <c r="AM485" s="56">
        <f>'[2]Изложницы без бурта'!K485</f>
        <v>0</v>
      </c>
    </row>
    <row r="486" spans="28:39" x14ac:dyDescent="0.25">
      <c r="AB486" s="258" t="str">
        <f t="shared" si="17"/>
        <v/>
      </c>
      <c r="AC486" s="259" t="str">
        <f>IF(COUNTIF(AD$78:AD486,AD486)=1,MAX(AC$78:AC485)+1,"")</f>
        <v/>
      </c>
      <c r="AD486" s="220">
        <f>'[2]Изложницы без бурта'!B486</f>
        <v>192.5</v>
      </c>
      <c r="AE486" s="220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613</v>
      </c>
      <c r="AM486" s="56">
        <f>'[2]Изложницы без бурта'!K486</f>
        <v>0</v>
      </c>
    </row>
    <row r="487" spans="28:39" x14ac:dyDescent="0.25">
      <c r="AB487" s="258" t="str">
        <f t="shared" si="17"/>
        <v/>
      </c>
      <c r="AC487" s="259" t="str">
        <f>IF(COUNTIF(AD$78:AD487,AD487)=1,MAX(AC$78:AC486)+1,"")</f>
        <v/>
      </c>
      <c r="AD487" s="220">
        <f>'[2]Изложницы без бурта'!B487</f>
        <v>192.5</v>
      </c>
      <c r="AE487" s="220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613</v>
      </c>
      <c r="AM487" s="56">
        <f>'[2]Изложницы без бурта'!K487</f>
        <v>0</v>
      </c>
    </row>
    <row r="488" spans="28:39" x14ac:dyDescent="0.25">
      <c r="AB488" s="258" t="str">
        <f t="shared" si="17"/>
        <v/>
      </c>
      <c r="AC488" s="259" t="str">
        <f>IF(COUNTIF(AD$78:AD488,AD488)=1,MAX(AC$78:AC487)+1,"")</f>
        <v/>
      </c>
      <c r="AD488" s="220">
        <f>'[2]Изложницы без бурта'!B488</f>
        <v>192.5</v>
      </c>
      <c r="AE488" s="220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613</v>
      </c>
      <c r="AM488" s="56">
        <f>'[2]Изложницы без бурта'!K488</f>
        <v>0</v>
      </c>
    </row>
    <row r="489" spans="28:39" x14ac:dyDescent="0.25">
      <c r="AB489" s="258" t="str">
        <f t="shared" si="17"/>
        <v/>
      </c>
      <c r="AC489" s="259" t="str">
        <f>IF(COUNTIF(AD$78:AD489,AD489)=1,MAX(AC$78:AC488)+1,"")</f>
        <v/>
      </c>
      <c r="AD489" s="220">
        <f>'[2]Изложницы без бурта'!B489</f>
        <v>192.5</v>
      </c>
      <c r="AE489" s="220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613</v>
      </c>
      <c r="AM489" s="56">
        <f>'[2]Изложницы без бурта'!K489</f>
        <v>0</v>
      </c>
    </row>
    <row r="490" spans="28:39" x14ac:dyDescent="0.25">
      <c r="AB490" s="258" t="str">
        <f t="shared" si="17"/>
        <v/>
      </c>
      <c r="AC490" s="259" t="str">
        <f>IF(COUNTIF(AD$78:AD490,AD490)=1,MAX(AC$78:AC489)+1,"")</f>
        <v/>
      </c>
      <c r="AD490" s="220">
        <f>'[2]Изложницы без бурта'!B490</f>
        <v>192.5</v>
      </c>
      <c r="AE490" s="220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613</v>
      </c>
      <c r="AM490" s="56">
        <f>'[2]Изложницы без бурта'!K490</f>
        <v>0</v>
      </c>
    </row>
    <row r="491" spans="28:39" x14ac:dyDescent="0.25">
      <c r="AB491" s="258" t="str">
        <f t="shared" si="17"/>
        <v/>
      </c>
      <c r="AC491" s="259" t="str">
        <f>IF(COUNTIF(AD$78:AD491,AD491)=1,MAX(AC$78:AC490)+1,"")</f>
        <v/>
      </c>
      <c r="AD491" s="220">
        <f>'[2]Изложницы без бурта'!B491</f>
        <v>192.5</v>
      </c>
      <c r="AE491" s="220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613</v>
      </c>
      <c r="AM491" s="56">
        <f>'[2]Изложницы без бурта'!K491</f>
        <v>0</v>
      </c>
    </row>
    <row r="492" spans="28:39" x14ac:dyDescent="0.25">
      <c r="AB492" s="258" t="str">
        <f t="shared" si="17"/>
        <v/>
      </c>
      <c r="AC492" s="259" t="str">
        <f>IF(COUNTIF(AD$78:AD492,AD492)=1,MAX(AC$78:AC491)+1,"")</f>
        <v/>
      </c>
      <c r="AD492" s="220">
        <f>'[2]Изложницы без бурта'!B492</f>
        <v>192.5</v>
      </c>
      <c r="AE492" s="220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613</v>
      </c>
      <c r="AM492" s="56">
        <f>'[2]Изложницы без бурта'!K492</f>
        <v>0</v>
      </c>
    </row>
    <row r="493" spans="28:39" x14ac:dyDescent="0.25">
      <c r="AB493" s="258" t="str">
        <f t="shared" si="17"/>
        <v/>
      </c>
      <c r="AC493" s="259" t="str">
        <f>IF(COUNTIF(AD$78:AD493,AD493)=1,MAX(AC$78:AC492)+1,"")</f>
        <v/>
      </c>
      <c r="AD493" s="220">
        <f>'[2]Изложницы без бурта'!B493</f>
        <v>192.5</v>
      </c>
      <c r="AE493" s="220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613</v>
      </c>
      <c r="AM493" s="56">
        <f>'[2]Изложницы без бурта'!K493</f>
        <v>0</v>
      </c>
    </row>
    <row r="494" spans="28:39" x14ac:dyDescent="0.25">
      <c r="AB494" s="258" t="str">
        <f t="shared" si="17"/>
        <v/>
      </c>
      <c r="AC494" s="259" t="str">
        <f>IF(COUNTIF(AD$78:AD494,AD494)=1,MAX(AC$78:AC493)+1,"")</f>
        <v/>
      </c>
      <c r="AD494" s="220">
        <f>'[2]Изложницы без бурта'!B494</f>
        <v>192.5</v>
      </c>
      <c r="AE494" s="220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613</v>
      </c>
      <c r="AM494" s="56">
        <f>'[2]Изложницы без бурта'!K494</f>
        <v>0</v>
      </c>
    </row>
    <row r="495" spans="28:39" x14ac:dyDescent="0.25">
      <c r="AB495" s="258" t="str">
        <f t="shared" si="17"/>
        <v/>
      </c>
      <c r="AC495" s="259" t="str">
        <f>IF(COUNTIF(AD$78:AD495,AD495)=1,MAX(AC$78:AC494)+1,"")</f>
        <v/>
      </c>
      <c r="AD495" s="220">
        <f>'[2]Изложницы без бурта'!B495</f>
        <v>192.5</v>
      </c>
      <c r="AE495" s="220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613</v>
      </c>
      <c r="AM495" s="56">
        <f>'[2]Изложницы без бурта'!K495</f>
        <v>0</v>
      </c>
    </row>
    <row r="496" spans="28:39" x14ac:dyDescent="0.25">
      <c r="AB496" s="258" t="str">
        <f t="shared" si="17"/>
        <v/>
      </c>
      <c r="AC496" s="259" t="str">
        <f>IF(COUNTIF(AD$78:AD496,AD496)=1,MAX(AC$78:AC495)+1,"")</f>
        <v/>
      </c>
      <c r="AD496" s="220">
        <f>'[2]Изложницы без бурта'!B496</f>
        <v>192.5</v>
      </c>
      <c r="AE496" s="220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613</v>
      </c>
      <c r="AM496" s="56">
        <f>'[2]Изложницы без бурта'!K496</f>
        <v>0</v>
      </c>
    </row>
    <row r="497" spans="28:39" x14ac:dyDescent="0.25">
      <c r="AB497" s="258" t="str">
        <f t="shared" si="17"/>
        <v/>
      </c>
      <c r="AC497" s="259" t="str">
        <f>IF(COUNTIF(AD$78:AD497,AD497)=1,MAX(AC$78:AC496)+1,"")</f>
        <v/>
      </c>
      <c r="AD497" s="220">
        <f>'[2]Изложницы без бурта'!B497</f>
        <v>192.5</v>
      </c>
      <c r="AE497" s="220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613</v>
      </c>
      <c r="AM497" s="56">
        <f>'[2]Изложницы без бурта'!K497</f>
        <v>0</v>
      </c>
    </row>
    <row r="498" spans="28:39" x14ac:dyDescent="0.25">
      <c r="AB498" s="258" t="str">
        <f t="shared" si="17"/>
        <v/>
      </c>
      <c r="AC498" s="259" t="str">
        <f>IF(COUNTIF(AD$78:AD498,AD498)=1,MAX(AC$78:AC497)+1,"")</f>
        <v/>
      </c>
      <c r="AD498" s="220">
        <f>'[2]Изложницы без бурта'!B498</f>
        <v>192.5</v>
      </c>
      <c r="AE498" s="220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613</v>
      </c>
      <c r="AM498" s="56">
        <f>'[2]Изложницы без бурта'!K498</f>
        <v>0</v>
      </c>
    </row>
    <row r="499" spans="28:39" x14ac:dyDescent="0.25">
      <c r="AB499" s="258" t="str">
        <f t="shared" si="17"/>
        <v/>
      </c>
      <c r="AC499" s="259">
        <f>IF(COUNTIF(AD$78:AD499,AD499)=1,MAX(AC$78:AC498)+1,"")</f>
        <v>43</v>
      </c>
      <c r="AD499" s="220">
        <f>'[2]Изложницы без бурта'!B499</f>
        <v>195</v>
      </c>
      <c r="AE499" s="220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614</v>
      </c>
      <c r="AM499" s="56">
        <f>'[2]Изложницы без бурта'!K499</f>
        <v>0</v>
      </c>
    </row>
    <row r="500" spans="28:39" x14ac:dyDescent="0.25">
      <c r="AB500" s="258" t="str">
        <f t="shared" si="17"/>
        <v/>
      </c>
      <c r="AC500" s="259" t="str">
        <f>IF(COUNTIF(AD$78:AD500,AD500)=1,MAX(AC$78:AC499)+1,"")</f>
        <v/>
      </c>
      <c r="AD500" s="220">
        <f>'[2]Изложницы без бурта'!B500</f>
        <v>195</v>
      </c>
      <c r="AE500" s="220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614</v>
      </c>
      <c r="AM500" s="56">
        <f>'[2]Изложницы без бурта'!K500</f>
        <v>0</v>
      </c>
    </row>
    <row r="501" spans="28:39" x14ac:dyDescent="0.25">
      <c r="AB501" s="258" t="str">
        <f t="shared" si="17"/>
        <v/>
      </c>
      <c r="AC501" s="259" t="str">
        <f>IF(COUNTIF(AD$78:AD501,AD501)=1,MAX(AC$78:AC500)+1,"")</f>
        <v/>
      </c>
      <c r="AD501" s="220">
        <f>'[2]Изложницы без бурта'!B501</f>
        <v>195</v>
      </c>
      <c r="AE501" s="220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614</v>
      </c>
      <c r="AM501" s="56">
        <f>'[2]Изложницы без бурта'!K501</f>
        <v>0</v>
      </c>
    </row>
    <row r="502" spans="28:39" x14ac:dyDescent="0.25">
      <c r="AB502" s="258" t="str">
        <f t="shared" si="17"/>
        <v/>
      </c>
      <c r="AC502" s="259" t="str">
        <f>IF(COUNTIF(AD$78:AD502,AD502)=1,MAX(AC$78:AC501)+1,"")</f>
        <v/>
      </c>
      <c r="AD502" s="220">
        <f>'[2]Изложницы без бурта'!B502</f>
        <v>195</v>
      </c>
      <c r="AE502" s="220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614</v>
      </c>
      <c r="AM502" s="56">
        <f>'[2]Изложницы без бурта'!K502</f>
        <v>0</v>
      </c>
    </row>
    <row r="503" spans="28:39" x14ac:dyDescent="0.25">
      <c r="AB503" s="258" t="str">
        <f t="shared" si="17"/>
        <v/>
      </c>
      <c r="AC503" s="259" t="str">
        <f>IF(COUNTIF(AD$78:AD503,AD503)=1,MAX(AC$78:AC502)+1,"")</f>
        <v/>
      </c>
      <c r="AD503" s="220">
        <f>'[2]Изложницы без бурта'!B503</f>
        <v>195</v>
      </c>
      <c r="AE503" s="220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614</v>
      </c>
      <c r="AM503" s="56">
        <f>'[2]Изложницы без бурта'!K503</f>
        <v>0</v>
      </c>
    </row>
    <row r="504" spans="28:39" x14ac:dyDescent="0.25">
      <c r="AB504" s="258" t="str">
        <f t="shared" si="17"/>
        <v/>
      </c>
      <c r="AC504" s="259" t="str">
        <f>IF(COUNTIF(AD$78:AD504,AD504)=1,MAX(AC$78:AC503)+1,"")</f>
        <v/>
      </c>
      <c r="AD504" s="220">
        <f>'[2]Изложницы без бурта'!B504</f>
        <v>195</v>
      </c>
      <c r="AE504" s="220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614</v>
      </c>
      <c r="AM504" s="56">
        <f>'[2]Изложницы без бурта'!K504</f>
        <v>0</v>
      </c>
    </row>
    <row r="505" spans="28:39" x14ac:dyDescent="0.25">
      <c r="AB505" s="258" t="str">
        <f t="shared" ref="AB505:AB568" si="18">IF(MAX(AC505:AC1582)&lt;ROW(427:427),"",VLOOKUP(ROW(427:427),AC505:AD1582,2))</f>
        <v/>
      </c>
      <c r="AC505" s="259" t="str">
        <f>IF(COUNTIF(AD$78:AD505,AD505)=1,MAX(AC$78:AC504)+1,"")</f>
        <v/>
      </c>
      <c r="AD505" s="220">
        <f>'[2]Изложницы без бурта'!B505</f>
        <v>195</v>
      </c>
      <c r="AE505" s="220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614</v>
      </c>
      <c r="AM505" s="56">
        <f>'[2]Изложницы без бурта'!K505</f>
        <v>0</v>
      </c>
    </row>
    <row r="506" spans="28:39" x14ac:dyDescent="0.25">
      <c r="AB506" s="258" t="str">
        <f t="shared" si="18"/>
        <v/>
      </c>
      <c r="AC506" s="259" t="str">
        <f>IF(COUNTIF(AD$78:AD506,AD506)=1,MAX(AC$78:AC505)+1,"")</f>
        <v/>
      </c>
      <c r="AD506" s="220">
        <f>'[2]Изложницы без бурта'!B506</f>
        <v>195</v>
      </c>
      <c r="AE506" s="220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614</v>
      </c>
      <c r="AM506" s="56">
        <f>'[2]Изложницы без бурта'!K506</f>
        <v>0</v>
      </c>
    </row>
    <row r="507" spans="28:39" x14ac:dyDescent="0.25">
      <c r="AB507" s="258" t="str">
        <f t="shared" si="18"/>
        <v/>
      </c>
      <c r="AC507" s="259" t="str">
        <f>IF(COUNTIF(AD$78:AD507,AD507)=1,MAX(AC$78:AC506)+1,"")</f>
        <v/>
      </c>
      <c r="AD507" s="220">
        <f>'[2]Изложницы без бурта'!B507</f>
        <v>195</v>
      </c>
      <c r="AE507" s="220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614</v>
      </c>
      <c r="AM507" s="56">
        <f>'[2]Изложницы без бурта'!K507</f>
        <v>0</v>
      </c>
    </row>
    <row r="508" spans="28:39" x14ac:dyDescent="0.25">
      <c r="AB508" s="258" t="str">
        <f t="shared" si="18"/>
        <v/>
      </c>
      <c r="AC508" s="259" t="str">
        <f>IF(COUNTIF(AD$78:AD508,AD508)=1,MAX(AC$78:AC507)+1,"")</f>
        <v/>
      </c>
      <c r="AD508" s="220">
        <f>'[2]Изложницы без бурта'!B508</f>
        <v>195</v>
      </c>
      <c r="AE508" s="220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614</v>
      </c>
      <c r="AM508" s="56">
        <f>'[2]Изложницы без бурта'!K508</f>
        <v>0</v>
      </c>
    </row>
    <row r="509" spans="28:39" x14ac:dyDescent="0.25">
      <c r="AB509" s="258" t="str">
        <f t="shared" si="18"/>
        <v/>
      </c>
      <c r="AC509" s="259" t="str">
        <f>IF(COUNTIF(AD$78:AD509,AD509)=1,MAX(AC$78:AC508)+1,"")</f>
        <v/>
      </c>
      <c r="AD509" s="220">
        <f>'[2]Изложницы без бурта'!B509</f>
        <v>195</v>
      </c>
      <c r="AE509" s="220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614</v>
      </c>
      <c r="AM509" s="56">
        <f>'[2]Изложницы без бурта'!K509</f>
        <v>0</v>
      </c>
    </row>
    <row r="510" spans="28:39" x14ac:dyDescent="0.25">
      <c r="AB510" s="258" t="str">
        <f t="shared" si="18"/>
        <v/>
      </c>
      <c r="AC510" s="259" t="str">
        <f>IF(COUNTIF(AD$78:AD510,AD510)=1,MAX(AC$78:AC509)+1,"")</f>
        <v/>
      </c>
      <c r="AD510" s="220">
        <f>'[2]Изложницы без бурта'!B510</f>
        <v>195</v>
      </c>
      <c r="AE510" s="220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614</v>
      </c>
      <c r="AM510" s="56">
        <f>'[2]Изложницы без бурта'!K510</f>
        <v>0</v>
      </c>
    </row>
    <row r="511" spans="28:39" x14ac:dyDescent="0.25">
      <c r="AB511" s="258" t="str">
        <f t="shared" si="18"/>
        <v/>
      </c>
      <c r="AC511" s="259" t="str">
        <f>IF(COUNTIF(AD$78:AD511,AD511)=1,MAX(AC$78:AC510)+1,"")</f>
        <v/>
      </c>
      <c r="AD511" s="220">
        <f>'[2]Изложницы без бурта'!B511</f>
        <v>195</v>
      </c>
      <c r="AE511" s="220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614</v>
      </c>
      <c r="AM511" s="56">
        <f>'[2]Изложницы без бурта'!K511</f>
        <v>0</v>
      </c>
    </row>
    <row r="512" spans="28:39" x14ac:dyDescent="0.25">
      <c r="AB512" s="258" t="str">
        <f t="shared" si="18"/>
        <v/>
      </c>
      <c r="AC512" s="259" t="str">
        <f>IF(COUNTIF(AD$78:AD512,AD512)=1,MAX(AC$78:AC511)+1,"")</f>
        <v/>
      </c>
      <c r="AD512" s="220">
        <f>'[2]Изложницы без бурта'!B512</f>
        <v>195</v>
      </c>
      <c r="AE512" s="220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614</v>
      </c>
      <c r="AM512" s="56">
        <f>'[2]Изложницы без бурта'!K512</f>
        <v>0</v>
      </c>
    </row>
    <row r="513" spans="28:39" x14ac:dyDescent="0.25">
      <c r="AB513" s="258" t="str">
        <f t="shared" si="18"/>
        <v/>
      </c>
      <c r="AC513" s="259" t="str">
        <f>IF(COUNTIF(AD$78:AD513,AD513)=1,MAX(AC$78:AC512)+1,"")</f>
        <v/>
      </c>
      <c r="AD513" s="220">
        <f>'[2]Изложницы без бурта'!B513</f>
        <v>195</v>
      </c>
      <c r="AE513" s="220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614</v>
      </c>
      <c r="AM513" s="56">
        <f>'[2]Изложницы без бурта'!K513</f>
        <v>0</v>
      </c>
    </row>
    <row r="514" spans="28:39" x14ac:dyDescent="0.25">
      <c r="AB514" s="258" t="str">
        <f t="shared" si="18"/>
        <v/>
      </c>
      <c r="AC514" s="259" t="str">
        <f>IF(COUNTIF(AD$78:AD514,AD514)=1,MAX(AC$78:AC513)+1,"")</f>
        <v/>
      </c>
      <c r="AD514" s="220">
        <f>'[2]Изложницы без бурта'!B514</f>
        <v>195</v>
      </c>
      <c r="AE514" s="220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614</v>
      </c>
      <c r="AM514" s="56">
        <f>'[2]Изложницы без бурта'!K514</f>
        <v>0</v>
      </c>
    </row>
    <row r="515" spans="28:39" x14ac:dyDescent="0.25">
      <c r="AB515" s="258" t="str">
        <f t="shared" si="18"/>
        <v/>
      </c>
      <c r="AC515" s="259">
        <f>IF(COUNTIF(AD$78:AD515,AD515)=1,MAX(AC$78:AC514)+1,"")</f>
        <v>44</v>
      </c>
      <c r="AD515" s="220">
        <f>'[2]Изложницы без бурта'!B515</f>
        <v>197.5</v>
      </c>
      <c r="AE515" s="220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615</v>
      </c>
      <c r="AM515" s="56">
        <f>'[2]Изложницы без бурта'!K515</f>
        <v>0</v>
      </c>
    </row>
    <row r="516" spans="28:39" x14ac:dyDescent="0.25">
      <c r="AB516" s="258" t="str">
        <f t="shared" si="18"/>
        <v/>
      </c>
      <c r="AC516" s="259" t="str">
        <f>IF(COUNTIF(AD$78:AD516,AD516)=1,MAX(AC$78:AC515)+1,"")</f>
        <v/>
      </c>
      <c r="AD516" s="220">
        <f>'[2]Изложницы без бурта'!B516</f>
        <v>197.5</v>
      </c>
      <c r="AE516" s="220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615</v>
      </c>
      <c r="AM516" s="56">
        <f>'[2]Изложницы без бурта'!K516</f>
        <v>0</v>
      </c>
    </row>
    <row r="517" spans="28:39" x14ac:dyDescent="0.25">
      <c r="AB517" s="258" t="str">
        <f t="shared" si="18"/>
        <v/>
      </c>
      <c r="AC517" s="259" t="str">
        <f>IF(COUNTIF(AD$78:AD517,AD517)=1,MAX(AC$78:AC516)+1,"")</f>
        <v/>
      </c>
      <c r="AD517" s="220">
        <f>'[2]Изложницы без бурта'!B517</f>
        <v>197.5</v>
      </c>
      <c r="AE517" s="220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615</v>
      </c>
      <c r="AM517" s="56">
        <f>'[2]Изложницы без бурта'!K517</f>
        <v>0</v>
      </c>
    </row>
    <row r="518" spans="28:39" x14ac:dyDescent="0.25">
      <c r="AB518" s="258" t="str">
        <f t="shared" si="18"/>
        <v/>
      </c>
      <c r="AC518" s="259" t="str">
        <f>IF(COUNTIF(AD$78:AD518,AD518)=1,MAX(AC$78:AC517)+1,"")</f>
        <v/>
      </c>
      <c r="AD518" s="220">
        <f>'[2]Изложницы без бурта'!B518</f>
        <v>197.5</v>
      </c>
      <c r="AE518" s="220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615</v>
      </c>
      <c r="AM518" s="56">
        <f>'[2]Изложницы без бурта'!K518</f>
        <v>0</v>
      </c>
    </row>
    <row r="519" spans="28:39" x14ac:dyDescent="0.25">
      <c r="AB519" s="258" t="str">
        <f t="shared" si="18"/>
        <v/>
      </c>
      <c r="AC519" s="259" t="str">
        <f>IF(COUNTIF(AD$78:AD519,AD519)=1,MAX(AC$78:AC518)+1,"")</f>
        <v/>
      </c>
      <c r="AD519" s="220">
        <f>'[2]Изложницы без бурта'!B519</f>
        <v>197.5</v>
      </c>
      <c r="AE519" s="220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615</v>
      </c>
      <c r="AM519" s="56">
        <f>'[2]Изложницы без бурта'!K519</f>
        <v>0</v>
      </c>
    </row>
    <row r="520" spans="28:39" x14ac:dyDescent="0.25">
      <c r="AB520" s="258" t="str">
        <f t="shared" si="18"/>
        <v/>
      </c>
      <c r="AC520" s="259" t="str">
        <f>IF(COUNTIF(AD$78:AD520,AD520)=1,MAX(AC$78:AC519)+1,"")</f>
        <v/>
      </c>
      <c r="AD520" s="220">
        <f>'[2]Изложницы без бурта'!B520</f>
        <v>197.5</v>
      </c>
      <c r="AE520" s="220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615</v>
      </c>
      <c r="AM520" s="56">
        <f>'[2]Изложницы без бурта'!K520</f>
        <v>0</v>
      </c>
    </row>
    <row r="521" spans="28:39" x14ac:dyDescent="0.25">
      <c r="AB521" s="258" t="str">
        <f t="shared" si="18"/>
        <v/>
      </c>
      <c r="AC521" s="259" t="str">
        <f>IF(COUNTIF(AD$78:AD521,AD521)=1,MAX(AC$78:AC520)+1,"")</f>
        <v/>
      </c>
      <c r="AD521" s="220">
        <f>'[2]Изложницы без бурта'!B521</f>
        <v>197.5</v>
      </c>
      <c r="AE521" s="220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615</v>
      </c>
      <c r="AM521" s="56">
        <f>'[2]Изложницы без бурта'!K521</f>
        <v>0</v>
      </c>
    </row>
    <row r="522" spans="28:39" x14ac:dyDescent="0.25">
      <c r="AB522" s="258" t="str">
        <f t="shared" si="18"/>
        <v/>
      </c>
      <c r="AC522" s="259" t="str">
        <f>IF(COUNTIF(AD$78:AD522,AD522)=1,MAX(AC$78:AC521)+1,"")</f>
        <v/>
      </c>
      <c r="AD522" s="220">
        <f>'[2]Изложницы без бурта'!B522</f>
        <v>197.5</v>
      </c>
      <c r="AE522" s="220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615</v>
      </c>
      <c r="AM522" s="56">
        <f>'[2]Изложницы без бурта'!K522</f>
        <v>0</v>
      </c>
    </row>
    <row r="523" spans="28:39" x14ac:dyDescent="0.25">
      <c r="AB523" s="258" t="str">
        <f t="shared" si="18"/>
        <v/>
      </c>
      <c r="AC523" s="259" t="str">
        <f>IF(COUNTIF(AD$78:AD523,AD523)=1,MAX(AC$78:AC522)+1,"")</f>
        <v/>
      </c>
      <c r="AD523" s="220">
        <f>'[2]Изложницы без бурта'!B523</f>
        <v>197.5</v>
      </c>
      <c r="AE523" s="220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615</v>
      </c>
      <c r="AM523" s="56">
        <f>'[2]Изложницы без бурта'!K523</f>
        <v>0</v>
      </c>
    </row>
    <row r="524" spans="28:39" x14ac:dyDescent="0.25">
      <c r="AB524" s="258" t="str">
        <f t="shared" si="18"/>
        <v/>
      </c>
      <c r="AC524" s="259" t="str">
        <f>IF(COUNTIF(AD$78:AD524,AD524)=1,MAX(AC$78:AC523)+1,"")</f>
        <v/>
      </c>
      <c r="AD524" s="220">
        <f>'[2]Изложницы без бурта'!B524</f>
        <v>197.5</v>
      </c>
      <c r="AE524" s="220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615</v>
      </c>
      <c r="AM524" s="56">
        <f>'[2]Изложницы без бурта'!K524</f>
        <v>0</v>
      </c>
    </row>
    <row r="525" spans="28:39" x14ac:dyDescent="0.25">
      <c r="AB525" s="258" t="str">
        <f t="shared" si="18"/>
        <v/>
      </c>
      <c r="AC525" s="259" t="str">
        <f>IF(COUNTIF(AD$78:AD525,AD525)=1,MAX(AC$78:AC524)+1,"")</f>
        <v/>
      </c>
      <c r="AD525" s="220">
        <f>'[2]Изложницы без бурта'!B525</f>
        <v>197.5</v>
      </c>
      <c r="AE525" s="220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615</v>
      </c>
      <c r="AM525" s="56">
        <f>'[2]Изложницы без бурта'!K525</f>
        <v>0</v>
      </c>
    </row>
    <row r="526" spans="28:39" x14ac:dyDescent="0.25">
      <c r="AB526" s="258" t="str">
        <f t="shared" si="18"/>
        <v/>
      </c>
      <c r="AC526" s="259" t="str">
        <f>IF(COUNTIF(AD$78:AD526,AD526)=1,MAX(AC$78:AC525)+1,"")</f>
        <v/>
      </c>
      <c r="AD526" s="220">
        <f>'[2]Изложницы без бурта'!B526</f>
        <v>197.5</v>
      </c>
      <c r="AE526" s="220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615</v>
      </c>
      <c r="AM526" s="56">
        <f>'[2]Изложницы без бурта'!K526</f>
        <v>0</v>
      </c>
    </row>
    <row r="527" spans="28:39" x14ac:dyDescent="0.25">
      <c r="AB527" s="258" t="str">
        <f t="shared" si="18"/>
        <v/>
      </c>
      <c r="AC527" s="259" t="str">
        <f>IF(COUNTIF(AD$78:AD527,AD527)=1,MAX(AC$78:AC526)+1,"")</f>
        <v/>
      </c>
      <c r="AD527" s="220">
        <f>'[2]Изложницы без бурта'!B527</f>
        <v>197.5</v>
      </c>
      <c r="AE527" s="220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615</v>
      </c>
      <c r="AM527" s="56">
        <f>'[2]Изложницы без бурта'!K527</f>
        <v>0</v>
      </c>
    </row>
    <row r="528" spans="28:39" x14ac:dyDescent="0.25">
      <c r="AB528" s="258" t="str">
        <f t="shared" si="18"/>
        <v/>
      </c>
      <c r="AC528" s="259" t="str">
        <f>IF(COUNTIF(AD$78:AD528,AD528)=1,MAX(AC$78:AC527)+1,"")</f>
        <v/>
      </c>
      <c r="AD528" s="220">
        <f>'[2]Изложницы без бурта'!B528</f>
        <v>197.5</v>
      </c>
      <c r="AE528" s="220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615</v>
      </c>
      <c r="AM528" s="56">
        <f>'[2]Изложницы без бурта'!K528</f>
        <v>0</v>
      </c>
    </row>
    <row r="529" spans="28:39" x14ac:dyDescent="0.25">
      <c r="AB529" s="258" t="str">
        <f t="shared" si="18"/>
        <v/>
      </c>
      <c r="AC529" s="259" t="str">
        <f>IF(COUNTIF(AD$78:AD529,AD529)=1,MAX(AC$78:AC528)+1,"")</f>
        <v/>
      </c>
      <c r="AD529" s="220">
        <f>'[2]Изложницы без бурта'!B529</f>
        <v>197.5</v>
      </c>
      <c r="AE529" s="220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615</v>
      </c>
      <c r="AM529" s="56">
        <f>'[2]Изложницы без бурта'!K529</f>
        <v>0</v>
      </c>
    </row>
    <row r="530" spans="28:39" x14ac:dyDescent="0.25">
      <c r="AB530" s="258" t="str">
        <f t="shared" si="18"/>
        <v/>
      </c>
      <c r="AC530" s="259" t="str">
        <f>IF(COUNTIF(AD$78:AD530,AD530)=1,MAX(AC$78:AC529)+1,"")</f>
        <v/>
      </c>
      <c r="AD530" s="220">
        <f>'[2]Изложницы без бурта'!B530</f>
        <v>197.5</v>
      </c>
      <c r="AE530" s="220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615</v>
      </c>
      <c r="AM530" s="56">
        <f>'[2]Изложницы без бурта'!K530</f>
        <v>0</v>
      </c>
    </row>
    <row r="531" spans="28:39" x14ac:dyDescent="0.25">
      <c r="AB531" s="258" t="str">
        <f t="shared" si="18"/>
        <v/>
      </c>
      <c r="AC531" s="259">
        <f>IF(COUNTIF(AD$78:AD531,AD531)=1,MAX(AC$78:AC530)+1,"")</f>
        <v>45</v>
      </c>
      <c r="AD531" s="220">
        <f>'[2]Изложницы без бурта'!B531</f>
        <v>200</v>
      </c>
      <c r="AE531" s="220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616</v>
      </c>
      <c r="AM531" s="56">
        <f>'[2]Изложницы без бурта'!K531</f>
        <v>0</v>
      </c>
    </row>
    <row r="532" spans="28:39" x14ac:dyDescent="0.25">
      <c r="AB532" s="258" t="str">
        <f t="shared" si="18"/>
        <v/>
      </c>
      <c r="AC532" s="259" t="str">
        <f>IF(COUNTIF(AD$78:AD532,AD532)=1,MAX(AC$78:AC531)+1,"")</f>
        <v/>
      </c>
      <c r="AD532" s="220">
        <f>'[2]Изложницы без бурта'!B532</f>
        <v>200</v>
      </c>
      <c r="AE532" s="220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616</v>
      </c>
      <c r="AM532" s="56">
        <f>'[2]Изложницы без бурта'!K532</f>
        <v>0</v>
      </c>
    </row>
    <row r="533" spans="28:39" x14ac:dyDescent="0.25">
      <c r="AB533" s="258" t="str">
        <f t="shared" si="18"/>
        <v/>
      </c>
      <c r="AC533" s="259" t="str">
        <f>IF(COUNTIF(AD$78:AD533,AD533)=1,MAX(AC$78:AC532)+1,"")</f>
        <v/>
      </c>
      <c r="AD533" s="220">
        <f>'[2]Изложницы без бурта'!B533</f>
        <v>200</v>
      </c>
      <c r="AE533" s="220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616</v>
      </c>
      <c r="AM533" s="56">
        <f>'[2]Изложницы без бурта'!K533</f>
        <v>0</v>
      </c>
    </row>
    <row r="534" spans="28:39" x14ac:dyDescent="0.25">
      <c r="AB534" s="258" t="str">
        <f t="shared" si="18"/>
        <v/>
      </c>
      <c r="AC534" s="259" t="str">
        <f>IF(COUNTIF(AD$78:AD534,AD534)=1,MAX(AC$78:AC533)+1,"")</f>
        <v/>
      </c>
      <c r="AD534" s="220">
        <f>'[2]Изложницы без бурта'!B534</f>
        <v>200</v>
      </c>
      <c r="AE534" s="220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616</v>
      </c>
      <c r="AM534" s="56">
        <f>'[2]Изложницы без бурта'!K534</f>
        <v>0</v>
      </c>
    </row>
    <row r="535" spans="28:39" x14ac:dyDescent="0.25">
      <c r="AB535" s="258" t="str">
        <f t="shared" si="18"/>
        <v/>
      </c>
      <c r="AC535" s="259" t="str">
        <f>IF(COUNTIF(AD$78:AD535,AD535)=1,MAX(AC$78:AC534)+1,"")</f>
        <v/>
      </c>
      <c r="AD535" s="220">
        <f>'[2]Изложницы без бурта'!B535</f>
        <v>200</v>
      </c>
      <c r="AE535" s="220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616</v>
      </c>
      <c r="AM535" s="56">
        <f>'[2]Изложницы без бурта'!K535</f>
        <v>0</v>
      </c>
    </row>
    <row r="536" spans="28:39" x14ac:dyDescent="0.25">
      <c r="AB536" s="258" t="str">
        <f t="shared" si="18"/>
        <v/>
      </c>
      <c r="AC536" s="259" t="str">
        <f>IF(COUNTIF(AD$78:AD536,AD536)=1,MAX(AC$78:AC535)+1,"")</f>
        <v/>
      </c>
      <c r="AD536" s="220">
        <f>'[2]Изложницы без бурта'!B536</f>
        <v>200</v>
      </c>
      <c r="AE536" s="220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616</v>
      </c>
      <c r="AM536" s="56">
        <f>'[2]Изложницы без бурта'!K536</f>
        <v>0</v>
      </c>
    </row>
    <row r="537" spans="28:39" x14ac:dyDescent="0.25">
      <c r="AB537" s="258" t="str">
        <f t="shared" si="18"/>
        <v/>
      </c>
      <c r="AC537" s="259" t="str">
        <f>IF(COUNTIF(AD$78:AD537,AD537)=1,MAX(AC$78:AC536)+1,"")</f>
        <v/>
      </c>
      <c r="AD537" s="220">
        <f>'[2]Изложницы без бурта'!B537</f>
        <v>200</v>
      </c>
      <c r="AE537" s="220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616</v>
      </c>
      <c r="AM537" s="56">
        <f>'[2]Изложницы без бурта'!K537</f>
        <v>0</v>
      </c>
    </row>
    <row r="538" spans="28:39" x14ac:dyDescent="0.25">
      <c r="AB538" s="258" t="str">
        <f t="shared" si="18"/>
        <v/>
      </c>
      <c r="AC538" s="259" t="str">
        <f>IF(COUNTIF(AD$78:AD538,AD538)=1,MAX(AC$78:AC537)+1,"")</f>
        <v/>
      </c>
      <c r="AD538" s="220">
        <f>'[2]Изложницы без бурта'!B538</f>
        <v>200</v>
      </c>
      <c r="AE538" s="220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616</v>
      </c>
      <c r="AM538" s="56">
        <f>'[2]Изложницы без бурта'!K538</f>
        <v>0</v>
      </c>
    </row>
    <row r="539" spans="28:39" x14ac:dyDescent="0.25">
      <c r="AB539" s="258" t="str">
        <f t="shared" si="18"/>
        <v/>
      </c>
      <c r="AC539" s="259" t="str">
        <f>IF(COUNTIF(AD$78:AD539,AD539)=1,MAX(AC$78:AC538)+1,"")</f>
        <v/>
      </c>
      <c r="AD539" s="220">
        <f>'[2]Изложницы без бурта'!B539</f>
        <v>200</v>
      </c>
      <c r="AE539" s="220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616</v>
      </c>
      <c r="AM539" s="56">
        <f>'[2]Изложницы без бурта'!K539</f>
        <v>0</v>
      </c>
    </row>
    <row r="540" spans="28:39" x14ac:dyDescent="0.25">
      <c r="AB540" s="258" t="str">
        <f t="shared" si="18"/>
        <v/>
      </c>
      <c r="AC540" s="259" t="str">
        <f>IF(COUNTIF(AD$78:AD540,AD540)=1,MAX(AC$78:AC539)+1,"")</f>
        <v/>
      </c>
      <c r="AD540" s="220">
        <f>'[2]Изложницы без бурта'!B540</f>
        <v>200</v>
      </c>
      <c r="AE540" s="220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616</v>
      </c>
      <c r="AM540" s="56">
        <f>'[2]Изложницы без бурта'!K540</f>
        <v>0</v>
      </c>
    </row>
    <row r="541" spans="28:39" x14ac:dyDescent="0.25">
      <c r="AB541" s="258" t="str">
        <f t="shared" si="18"/>
        <v/>
      </c>
      <c r="AC541" s="259" t="str">
        <f>IF(COUNTIF(AD$78:AD541,AD541)=1,MAX(AC$78:AC540)+1,"")</f>
        <v/>
      </c>
      <c r="AD541" s="220">
        <f>'[2]Изложницы без бурта'!B541</f>
        <v>200</v>
      </c>
      <c r="AE541" s="220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616</v>
      </c>
      <c r="AM541" s="56">
        <f>'[2]Изложницы без бурта'!K541</f>
        <v>0</v>
      </c>
    </row>
    <row r="542" spans="28:39" x14ac:dyDescent="0.25">
      <c r="AB542" s="258" t="str">
        <f t="shared" si="18"/>
        <v/>
      </c>
      <c r="AC542" s="259" t="str">
        <f>IF(COUNTIF(AD$78:AD542,AD542)=1,MAX(AC$78:AC541)+1,"")</f>
        <v/>
      </c>
      <c r="AD542" s="220">
        <f>'[2]Изложницы без бурта'!B542</f>
        <v>200</v>
      </c>
      <c r="AE542" s="220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616</v>
      </c>
      <c r="AM542" s="56">
        <f>'[2]Изложницы без бурта'!K542</f>
        <v>0</v>
      </c>
    </row>
    <row r="543" spans="28:39" x14ac:dyDescent="0.25">
      <c r="AB543" s="258" t="str">
        <f t="shared" si="18"/>
        <v/>
      </c>
      <c r="AC543" s="259" t="str">
        <f>IF(COUNTIF(AD$78:AD543,AD543)=1,MAX(AC$78:AC542)+1,"")</f>
        <v/>
      </c>
      <c r="AD543" s="220">
        <f>'[2]Изложницы без бурта'!B543</f>
        <v>200</v>
      </c>
      <c r="AE543" s="220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616</v>
      </c>
      <c r="AM543" s="56">
        <f>'[2]Изложницы без бурта'!K543</f>
        <v>0</v>
      </c>
    </row>
    <row r="544" spans="28:39" x14ac:dyDescent="0.25">
      <c r="AB544" s="258" t="str">
        <f t="shared" si="18"/>
        <v/>
      </c>
      <c r="AC544" s="259" t="str">
        <f>IF(COUNTIF(AD$78:AD544,AD544)=1,MAX(AC$78:AC543)+1,"")</f>
        <v/>
      </c>
      <c r="AD544" s="220">
        <f>'[2]Изложницы без бурта'!B544</f>
        <v>200</v>
      </c>
      <c r="AE544" s="220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616</v>
      </c>
      <c r="AM544" s="56">
        <f>'[2]Изложницы без бурта'!K544</f>
        <v>0</v>
      </c>
    </row>
    <row r="545" spans="28:39" x14ac:dyDescent="0.25">
      <c r="AB545" s="258" t="str">
        <f t="shared" si="18"/>
        <v/>
      </c>
      <c r="AC545" s="259" t="str">
        <f>IF(COUNTIF(AD$78:AD545,AD545)=1,MAX(AC$78:AC544)+1,"")</f>
        <v/>
      </c>
      <c r="AD545" s="220">
        <f>'[2]Изложницы без бурта'!B545</f>
        <v>200</v>
      </c>
      <c r="AE545" s="220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616</v>
      </c>
      <c r="AM545" s="56">
        <f>'[2]Изложницы без бурта'!K545</f>
        <v>0</v>
      </c>
    </row>
    <row r="546" spans="28:39" x14ac:dyDescent="0.25">
      <c r="AB546" s="258" t="str">
        <f t="shared" si="18"/>
        <v/>
      </c>
      <c r="AC546" s="259" t="str">
        <f>IF(COUNTIF(AD$78:AD546,AD546)=1,MAX(AC$78:AC545)+1,"")</f>
        <v/>
      </c>
      <c r="AD546" s="220">
        <f>'[2]Изложницы без бурта'!B546</f>
        <v>200</v>
      </c>
      <c r="AE546" s="220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616</v>
      </c>
      <c r="AM546" s="56">
        <f>'[2]Изложницы без бурта'!K546</f>
        <v>0</v>
      </c>
    </row>
    <row r="547" spans="28:39" x14ac:dyDescent="0.25">
      <c r="AB547" s="258" t="str">
        <f t="shared" si="18"/>
        <v/>
      </c>
      <c r="AC547" s="259">
        <f>IF(COUNTIF(AD$78:AD547,AD547)=1,MAX(AC$78:AC546)+1,"")</f>
        <v>46</v>
      </c>
      <c r="AD547" s="220">
        <f>'[2]Изложницы без бурта'!B547</f>
        <v>202.5</v>
      </c>
      <c r="AE547" s="220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617</v>
      </c>
      <c r="AM547" s="56">
        <f>'[2]Изложницы без бурта'!K547</f>
        <v>0</v>
      </c>
    </row>
    <row r="548" spans="28:39" x14ac:dyDescent="0.25">
      <c r="AB548" s="258" t="str">
        <f t="shared" si="18"/>
        <v/>
      </c>
      <c r="AC548" s="259">
        <f>IF(COUNTIF(AD$78:AD548,AD548)=1,MAX(AC$78:AC547)+1,"")</f>
        <v>47</v>
      </c>
      <c r="AD548" s="220">
        <f>'[2]Изложницы без бурта'!B548</f>
        <v>205</v>
      </c>
      <c r="AE548" s="220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618</v>
      </c>
      <c r="AM548" s="56">
        <f>'[2]Изложницы без бурта'!K548</f>
        <v>0</v>
      </c>
    </row>
    <row r="549" spans="28:39" x14ac:dyDescent="0.25">
      <c r="AB549" s="258" t="str">
        <f t="shared" si="18"/>
        <v/>
      </c>
      <c r="AC549" s="259" t="str">
        <f>IF(COUNTIF(AD$78:AD549,AD549)=1,MAX(AC$78:AC548)+1,"")</f>
        <v/>
      </c>
      <c r="AD549" s="220">
        <f>'[2]Изложницы без бурта'!B549</f>
        <v>205</v>
      </c>
      <c r="AE549" s="220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618</v>
      </c>
      <c r="AM549" s="56">
        <f>'[2]Изложницы без бурта'!K549</f>
        <v>0</v>
      </c>
    </row>
    <row r="550" spans="28:39" x14ac:dyDescent="0.25">
      <c r="AB550" s="258" t="str">
        <f t="shared" si="18"/>
        <v/>
      </c>
      <c r="AC550" s="259" t="str">
        <f>IF(COUNTIF(AD$78:AD550,AD550)=1,MAX(AC$78:AC549)+1,"")</f>
        <v/>
      </c>
      <c r="AD550" s="220">
        <f>'[2]Изложницы без бурта'!B550</f>
        <v>205</v>
      </c>
      <c r="AE550" s="220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618</v>
      </c>
      <c r="AM550" s="56">
        <f>'[2]Изложницы без бурта'!K550</f>
        <v>0</v>
      </c>
    </row>
    <row r="551" spans="28:39" x14ac:dyDescent="0.25">
      <c r="AB551" s="258" t="str">
        <f t="shared" si="18"/>
        <v/>
      </c>
      <c r="AC551" s="259" t="str">
        <f>IF(COUNTIF(AD$78:AD551,AD551)=1,MAX(AC$78:AC550)+1,"")</f>
        <v/>
      </c>
      <c r="AD551" s="220">
        <f>'[2]Изложницы без бурта'!B551</f>
        <v>205</v>
      </c>
      <c r="AE551" s="220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618</v>
      </c>
      <c r="AM551" s="56">
        <f>'[2]Изложницы без бурта'!K551</f>
        <v>0</v>
      </c>
    </row>
    <row r="552" spans="28:39" x14ac:dyDescent="0.25">
      <c r="AB552" s="258" t="str">
        <f t="shared" si="18"/>
        <v/>
      </c>
      <c r="AC552" s="259" t="str">
        <f>IF(COUNTIF(AD$78:AD552,AD552)=1,MAX(AC$78:AC551)+1,"")</f>
        <v/>
      </c>
      <c r="AD552" s="220">
        <f>'[2]Изложницы без бурта'!B552</f>
        <v>205</v>
      </c>
      <c r="AE552" s="220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618</v>
      </c>
      <c r="AM552" s="56">
        <f>'[2]Изложницы без бурта'!K552</f>
        <v>0</v>
      </c>
    </row>
    <row r="553" spans="28:39" x14ac:dyDescent="0.25">
      <c r="AB553" s="258" t="str">
        <f t="shared" si="18"/>
        <v/>
      </c>
      <c r="AC553" s="259" t="str">
        <f>IF(COUNTIF(AD$78:AD553,AD553)=1,MAX(AC$78:AC552)+1,"")</f>
        <v/>
      </c>
      <c r="AD553" s="220">
        <f>'[2]Изложницы без бурта'!B553</f>
        <v>205</v>
      </c>
      <c r="AE553" s="220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618</v>
      </c>
      <c r="AM553" s="56">
        <f>'[2]Изложницы без бурта'!K553</f>
        <v>0</v>
      </c>
    </row>
    <row r="554" spans="28:39" x14ac:dyDescent="0.25">
      <c r="AB554" s="258" t="str">
        <f t="shared" si="18"/>
        <v/>
      </c>
      <c r="AC554" s="259" t="str">
        <f>IF(COUNTIF(AD$78:AD554,AD554)=1,MAX(AC$78:AC553)+1,"")</f>
        <v/>
      </c>
      <c r="AD554" s="220">
        <f>'[2]Изложницы без бурта'!B554</f>
        <v>205</v>
      </c>
      <c r="AE554" s="220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618</v>
      </c>
      <c r="AM554" s="56">
        <f>'[2]Изложницы без бурта'!K554</f>
        <v>0</v>
      </c>
    </row>
    <row r="555" spans="28:39" x14ac:dyDescent="0.25">
      <c r="AB555" s="258" t="str">
        <f t="shared" si="18"/>
        <v/>
      </c>
      <c r="AC555" s="259" t="str">
        <f>IF(COUNTIF(AD$78:AD555,AD555)=1,MAX(AC$78:AC554)+1,"")</f>
        <v/>
      </c>
      <c r="AD555" s="220">
        <f>'[2]Изложницы без бурта'!B555</f>
        <v>205</v>
      </c>
      <c r="AE555" s="220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618</v>
      </c>
      <c r="AM555" s="56">
        <f>'[2]Изложницы без бурта'!K555</f>
        <v>0</v>
      </c>
    </row>
    <row r="556" spans="28:39" x14ac:dyDescent="0.25">
      <c r="AB556" s="258" t="str">
        <f t="shared" si="18"/>
        <v/>
      </c>
      <c r="AC556" s="259" t="str">
        <f>IF(COUNTIF(AD$78:AD556,AD556)=1,MAX(AC$78:AC555)+1,"")</f>
        <v/>
      </c>
      <c r="AD556" s="220">
        <f>'[2]Изложницы без бурта'!B556</f>
        <v>205</v>
      </c>
      <c r="AE556" s="220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618</v>
      </c>
      <c r="AM556" s="56">
        <f>'[2]Изложницы без бурта'!K556</f>
        <v>0</v>
      </c>
    </row>
    <row r="557" spans="28:39" x14ac:dyDescent="0.25">
      <c r="AB557" s="258" t="str">
        <f t="shared" si="18"/>
        <v/>
      </c>
      <c r="AC557" s="259" t="str">
        <f>IF(COUNTIF(AD$78:AD557,AD557)=1,MAX(AC$78:AC556)+1,"")</f>
        <v/>
      </c>
      <c r="AD557" s="220">
        <f>'[2]Изложницы без бурта'!B557</f>
        <v>205</v>
      </c>
      <c r="AE557" s="220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618</v>
      </c>
      <c r="AM557" s="56">
        <f>'[2]Изложницы без бурта'!K557</f>
        <v>0</v>
      </c>
    </row>
    <row r="558" spans="28:39" x14ac:dyDescent="0.25">
      <c r="AB558" s="258" t="str">
        <f t="shared" si="18"/>
        <v/>
      </c>
      <c r="AC558" s="259" t="str">
        <f>IF(COUNTIF(AD$78:AD558,AD558)=1,MAX(AC$78:AC557)+1,"")</f>
        <v/>
      </c>
      <c r="AD558" s="220">
        <f>'[2]Изложницы без бурта'!B558</f>
        <v>205</v>
      </c>
      <c r="AE558" s="220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618</v>
      </c>
      <c r="AM558" s="56">
        <f>'[2]Изложницы без бурта'!K558</f>
        <v>0</v>
      </c>
    </row>
    <row r="559" spans="28:39" x14ac:dyDescent="0.25">
      <c r="AB559" s="258" t="str">
        <f t="shared" si="18"/>
        <v/>
      </c>
      <c r="AC559" s="259" t="str">
        <f>IF(COUNTIF(AD$78:AD559,AD559)=1,MAX(AC$78:AC558)+1,"")</f>
        <v/>
      </c>
      <c r="AD559" s="220">
        <f>'[2]Изложницы без бурта'!B559</f>
        <v>205</v>
      </c>
      <c r="AE559" s="220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618</v>
      </c>
      <c r="AM559" s="56">
        <f>'[2]Изложницы без бурта'!K559</f>
        <v>0</v>
      </c>
    </row>
    <row r="560" spans="28:39" x14ac:dyDescent="0.25">
      <c r="AB560" s="258" t="str">
        <f t="shared" si="18"/>
        <v/>
      </c>
      <c r="AC560" s="259" t="str">
        <f>IF(COUNTIF(AD$78:AD560,AD560)=1,MAX(AC$78:AC559)+1,"")</f>
        <v/>
      </c>
      <c r="AD560" s="220">
        <f>'[2]Изложницы без бурта'!B560</f>
        <v>205</v>
      </c>
      <c r="AE560" s="220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618</v>
      </c>
      <c r="AM560" s="56">
        <f>'[2]Изложницы без бурта'!K560</f>
        <v>0</v>
      </c>
    </row>
    <row r="561" spans="28:39" x14ac:dyDescent="0.25">
      <c r="AB561" s="258" t="str">
        <f t="shared" si="18"/>
        <v/>
      </c>
      <c r="AC561" s="259" t="str">
        <f>IF(COUNTIF(AD$78:AD561,AD561)=1,MAX(AC$78:AC560)+1,"")</f>
        <v/>
      </c>
      <c r="AD561" s="220">
        <f>'[2]Изложницы без бурта'!B561</f>
        <v>205</v>
      </c>
      <c r="AE561" s="220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618</v>
      </c>
      <c r="AM561" s="56">
        <f>'[2]Изложницы без бурта'!K561</f>
        <v>0</v>
      </c>
    </row>
    <row r="562" spans="28:39" x14ac:dyDescent="0.25">
      <c r="AB562" s="258" t="str">
        <f t="shared" si="18"/>
        <v/>
      </c>
      <c r="AC562" s="259" t="str">
        <f>IF(COUNTIF(AD$78:AD562,AD562)=1,MAX(AC$78:AC561)+1,"")</f>
        <v/>
      </c>
      <c r="AD562" s="220">
        <f>'[2]Изложницы без бурта'!B562</f>
        <v>205</v>
      </c>
      <c r="AE562" s="220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618</v>
      </c>
      <c r="AM562" s="56">
        <f>'[2]Изложницы без бурта'!K562</f>
        <v>0</v>
      </c>
    </row>
    <row r="563" spans="28:39" x14ac:dyDescent="0.25">
      <c r="AB563" s="258" t="str">
        <f t="shared" si="18"/>
        <v/>
      </c>
      <c r="AC563" s="259" t="str">
        <f>IF(COUNTIF(AD$78:AD563,AD563)=1,MAX(AC$78:AC562)+1,"")</f>
        <v/>
      </c>
      <c r="AD563" s="220">
        <f>'[2]Изложницы без бурта'!B563</f>
        <v>205</v>
      </c>
      <c r="AE563" s="220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618</v>
      </c>
      <c r="AM563" s="56">
        <f>'[2]Изложницы без бурта'!K563</f>
        <v>0</v>
      </c>
    </row>
    <row r="564" spans="28:39" x14ac:dyDescent="0.25">
      <c r="AB564" s="258" t="str">
        <f t="shared" si="18"/>
        <v/>
      </c>
      <c r="AC564" s="259" t="str">
        <f>IF(COUNTIF(AD$78:AD564,AD564)=1,MAX(AC$78:AC563)+1,"")</f>
        <v/>
      </c>
      <c r="AD564" s="220">
        <f>'[2]Изложницы без бурта'!B564</f>
        <v>205</v>
      </c>
      <c r="AE564" s="220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618</v>
      </c>
      <c r="AM564" s="56">
        <f>'[2]Изложницы без бурта'!K564</f>
        <v>0</v>
      </c>
    </row>
    <row r="565" spans="28:39" x14ac:dyDescent="0.25">
      <c r="AB565" s="258" t="str">
        <f t="shared" si="18"/>
        <v/>
      </c>
      <c r="AC565" s="259">
        <f>IF(COUNTIF(AD$78:AD565,AD565)=1,MAX(AC$78:AC564)+1,"")</f>
        <v>48</v>
      </c>
      <c r="AD565" s="220">
        <f>'[2]Изложницы без бурта'!B565</f>
        <v>207.5</v>
      </c>
      <c r="AE565" s="220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619</v>
      </c>
      <c r="AM565" s="56">
        <f>'[2]Изложницы без бурта'!K565</f>
        <v>0</v>
      </c>
    </row>
    <row r="566" spans="28:39" x14ac:dyDescent="0.25">
      <c r="AB566" s="258" t="str">
        <f t="shared" si="18"/>
        <v/>
      </c>
      <c r="AC566" s="259" t="str">
        <f>IF(COUNTIF(AD$78:AD566,AD566)=1,MAX(AC$78:AC565)+1,"")</f>
        <v/>
      </c>
      <c r="AD566" s="220">
        <f>'[2]Изложницы без бурта'!B566</f>
        <v>207.5</v>
      </c>
      <c r="AE566" s="220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619</v>
      </c>
      <c r="AM566" s="56">
        <f>'[2]Изложницы без бурта'!K566</f>
        <v>0</v>
      </c>
    </row>
    <row r="567" spans="28:39" x14ac:dyDescent="0.25">
      <c r="AB567" s="258" t="str">
        <f t="shared" si="18"/>
        <v/>
      </c>
      <c r="AC567" s="259" t="str">
        <f>IF(COUNTIF(AD$78:AD567,AD567)=1,MAX(AC$78:AC566)+1,"")</f>
        <v/>
      </c>
      <c r="AD567" s="220">
        <f>'[2]Изложницы без бурта'!B567</f>
        <v>207.5</v>
      </c>
      <c r="AE567" s="220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619</v>
      </c>
      <c r="AM567" s="56">
        <f>'[2]Изложницы без бурта'!K567</f>
        <v>0</v>
      </c>
    </row>
    <row r="568" spans="28:39" x14ac:dyDescent="0.25">
      <c r="AB568" s="258" t="str">
        <f t="shared" si="18"/>
        <v/>
      </c>
      <c r="AC568" s="259" t="str">
        <f>IF(COUNTIF(AD$78:AD568,AD568)=1,MAX(AC$78:AC567)+1,"")</f>
        <v/>
      </c>
      <c r="AD568" s="220">
        <f>'[2]Изложницы без бурта'!B568</f>
        <v>207.5</v>
      </c>
      <c r="AE568" s="220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619</v>
      </c>
      <c r="AM568" s="56">
        <f>'[2]Изложницы без бурта'!K568</f>
        <v>0</v>
      </c>
    </row>
    <row r="569" spans="28:39" x14ac:dyDescent="0.25">
      <c r="AB569" s="258" t="str">
        <f t="shared" ref="AB569:AB632" si="19">IF(MAX(AC569:AC1646)&lt;ROW(491:491),"",VLOOKUP(ROW(491:491),AC569:AD1646,2))</f>
        <v/>
      </c>
      <c r="AC569" s="259" t="str">
        <f>IF(COUNTIF(AD$78:AD569,AD569)=1,MAX(AC$78:AC568)+1,"")</f>
        <v/>
      </c>
      <c r="AD569" s="220">
        <f>'[2]Изложницы без бурта'!B569</f>
        <v>207.5</v>
      </c>
      <c r="AE569" s="220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619</v>
      </c>
      <c r="AM569" s="56">
        <f>'[2]Изложницы без бурта'!K569</f>
        <v>0</v>
      </c>
    </row>
    <row r="570" spans="28:39" x14ac:dyDescent="0.25">
      <c r="AB570" s="258" t="str">
        <f t="shared" si="19"/>
        <v/>
      </c>
      <c r="AC570" s="259" t="str">
        <f>IF(COUNTIF(AD$78:AD570,AD570)=1,MAX(AC$78:AC569)+1,"")</f>
        <v/>
      </c>
      <c r="AD570" s="220">
        <f>'[2]Изложницы без бурта'!B570</f>
        <v>207.5</v>
      </c>
      <c r="AE570" s="220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619</v>
      </c>
      <c r="AM570" s="56">
        <f>'[2]Изложницы без бурта'!K570</f>
        <v>0</v>
      </c>
    </row>
    <row r="571" spans="28:39" x14ac:dyDescent="0.25">
      <c r="AB571" s="258" t="str">
        <f t="shared" si="19"/>
        <v/>
      </c>
      <c r="AC571" s="259" t="str">
        <f>IF(COUNTIF(AD$78:AD571,AD571)=1,MAX(AC$78:AC570)+1,"")</f>
        <v/>
      </c>
      <c r="AD571" s="220">
        <f>'[2]Изложницы без бурта'!B571</f>
        <v>207.5</v>
      </c>
      <c r="AE571" s="220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619</v>
      </c>
      <c r="AM571" s="56">
        <f>'[2]Изложницы без бурта'!K571</f>
        <v>0</v>
      </c>
    </row>
    <row r="572" spans="28:39" x14ac:dyDescent="0.25">
      <c r="AB572" s="258" t="str">
        <f t="shared" si="19"/>
        <v/>
      </c>
      <c r="AC572" s="259" t="str">
        <f>IF(COUNTIF(AD$78:AD572,AD572)=1,MAX(AC$78:AC571)+1,"")</f>
        <v/>
      </c>
      <c r="AD572" s="220">
        <f>'[2]Изложницы без бурта'!B572</f>
        <v>207.5</v>
      </c>
      <c r="AE572" s="220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619</v>
      </c>
      <c r="AM572" s="56">
        <f>'[2]Изложницы без бурта'!K572</f>
        <v>0</v>
      </c>
    </row>
    <row r="573" spans="28:39" x14ac:dyDescent="0.25">
      <c r="AB573" s="258" t="str">
        <f t="shared" si="19"/>
        <v/>
      </c>
      <c r="AC573" s="259" t="str">
        <f>IF(COUNTIF(AD$78:AD573,AD573)=1,MAX(AC$78:AC572)+1,"")</f>
        <v/>
      </c>
      <c r="AD573" s="220">
        <f>'[2]Изложницы без бурта'!B573</f>
        <v>207.5</v>
      </c>
      <c r="AE573" s="220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619</v>
      </c>
      <c r="AM573" s="56">
        <f>'[2]Изложницы без бурта'!K573</f>
        <v>0</v>
      </c>
    </row>
    <row r="574" spans="28:39" x14ac:dyDescent="0.25">
      <c r="AB574" s="258" t="str">
        <f t="shared" si="19"/>
        <v/>
      </c>
      <c r="AC574" s="259">
        <f>IF(COUNTIF(AD$78:AD574,AD574)=1,MAX(AC$78:AC573)+1,"")</f>
        <v>49</v>
      </c>
      <c r="AD574" s="220">
        <f>'[2]Изложницы без бурта'!B574</f>
        <v>210</v>
      </c>
      <c r="AE574" s="220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620</v>
      </c>
      <c r="AM574" s="56">
        <f>'[2]Изложницы без бурта'!K574</f>
        <v>0</v>
      </c>
    </row>
    <row r="575" spans="28:39" x14ac:dyDescent="0.25">
      <c r="AB575" s="258" t="str">
        <f t="shared" si="19"/>
        <v/>
      </c>
      <c r="AC575" s="259" t="str">
        <f>IF(COUNTIF(AD$78:AD575,AD575)=1,MAX(AC$78:AC574)+1,"")</f>
        <v/>
      </c>
      <c r="AD575" s="220">
        <f>'[2]Изложницы без бурта'!B575</f>
        <v>210</v>
      </c>
      <c r="AE575" s="220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620</v>
      </c>
      <c r="AM575" s="56">
        <f>'[2]Изложницы без бурта'!K575</f>
        <v>0</v>
      </c>
    </row>
    <row r="576" spans="28:39" x14ac:dyDescent="0.25">
      <c r="AB576" s="258" t="str">
        <f t="shared" si="19"/>
        <v/>
      </c>
      <c r="AC576" s="259" t="str">
        <f>IF(COUNTIF(AD$78:AD576,AD576)=1,MAX(AC$78:AC575)+1,"")</f>
        <v/>
      </c>
      <c r="AD576" s="220">
        <f>'[2]Изложницы без бурта'!B576</f>
        <v>210</v>
      </c>
      <c r="AE576" s="220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620</v>
      </c>
      <c r="AM576" s="56">
        <f>'[2]Изложницы без бурта'!K576</f>
        <v>0</v>
      </c>
    </row>
    <row r="577" spans="28:39" x14ac:dyDescent="0.25">
      <c r="AB577" s="258" t="str">
        <f t="shared" si="19"/>
        <v/>
      </c>
      <c r="AC577" s="259" t="str">
        <f>IF(COUNTIF(AD$78:AD577,AD577)=1,MAX(AC$78:AC576)+1,"")</f>
        <v/>
      </c>
      <c r="AD577" s="220">
        <f>'[2]Изложницы без бурта'!B577</f>
        <v>210</v>
      </c>
      <c r="AE577" s="220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620</v>
      </c>
      <c r="AM577" s="56">
        <f>'[2]Изложницы без бурта'!K577</f>
        <v>0</v>
      </c>
    </row>
    <row r="578" spans="28:39" x14ac:dyDescent="0.25">
      <c r="AB578" s="258" t="str">
        <f t="shared" si="19"/>
        <v/>
      </c>
      <c r="AC578" s="259" t="str">
        <f>IF(COUNTIF(AD$78:AD578,AD578)=1,MAX(AC$78:AC577)+1,"")</f>
        <v/>
      </c>
      <c r="AD578" s="220">
        <f>'[2]Изложницы без бурта'!B578</f>
        <v>210</v>
      </c>
      <c r="AE578" s="220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620</v>
      </c>
      <c r="AM578" s="56">
        <f>'[2]Изложницы без бурта'!K578</f>
        <v>0</v>
      </c>
    </row>
    <row r="579" spans="28:39" x14ac:dyDescent="0.25">
      <c r="AB579" s="258" t="str">
        <f t="shared" si="19"/>
        <v/>
      </c>
      <c r="AC579" s="259" t="str">
        <f>IF(COUNTIF(AD$78:AD579,AD579)=1,MAX(AC$78:AC578)+1,"")</f>
        <v/>
      </c>
      <c r="AD579" s="220">
        <f>'[2]Изложницы без бурта'!B579</f>
        <v>210</v>
      </c>
      <c r="AE579" s="220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620</v>
      </c>
      <c r="AM579" s="56">
        <f>'[2]Изложницы без бурта'!K579</f>
        <v>0</v>
      </c>
    </row>
    <row r="580" spans="28:39" x14ac:dyDescent="0.25">
      <c r="AB580" s="258" t="str">
        <f t="shared" si="19"/>
        <v/>
      </c>
      <c r="AC580" s="259" t="str">
        <f>IF(COUNTIF(AD$78:AD580,AD580)=1,MAX(AC$78:AC579)+1,"")</f>
        <v/>
      </c>
      <c r="AD580" s="220">
        <f>'[2]Изложницы без бурта'!B580</f>
        <v>210</v>
      </c>
      <c r="AE580" s="220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620</v>
      </c>
      <c r="AM580" s="56">
        <f>'[2]Изложницы без бурта'!K580</f>
        <v>0</v>
      </c>
    </row>
    <row r="581" spans="28:39" x14ac:dyDescent="0.25">
      <c r="AB581" s="258" t="str">
        <f t="shared" si="19"/>
        <v/>
      </c>
      <c r="AC581" s="259" t="str">
        <f>IF(COUNTIF(AD$78:AD581,AD581)=1,MAX(AC$78:AC580)+1,"")</f>
        <v/>
      </c>
      <c r="AD581" s="220">
        <f>'[2]Изложницы без бурта'!B581</f>
        <v>210</v>
      </c>
      <c r="AE581" s="220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620</v>
      </c>
      <c r="AM581" s="56">
        <f>'[2]Изложницы без бурта'!K581</f>
        <v>0</v>
      </c>
    </row>
    <row r="582" spans="28:39" x14ac:dyDescent="0.25">
      <c r="AB582" s="258" t="str">
        <f t="shared" si="19"/>
        <v/>
      </c>
      <c r="AC582" s="259" t="str">
        <f>IF(COUNTIF(AD$78:AD582,AD582)=1,MAX(AC$78:AC581)+1,"")</f>
        <v/>
      </c>
      <c r="AD582" s="220">
        <f>'[2]Изложницы без бурта'!B582</f>
        <v>210</v>
      </c>
      <c r="AE582" s="220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620</v>
      </c>
      <c r="AM582" s="56">
        <f>'[2]Изложницы без бурта'!K582</f>
        <v>0</v>
      </c>
    </row>
    <row r="583" spans="28:39" x14ac:dyDescent="0.25">
      <c r="AB583" s="258" t="str">
        <f t="shared" si="19"/>
        <v/>
      </c>
      <c r="AC583" s="259" t="str">
        <f>IF(COUNTIF(AD$78:AD583,AD583)=1,MAX(AC$78:AC582)+1,"")</f>
        <v/>
      </c>
      <c r="AD583" s="220">
        <f>'[2]Изложницы без бурта'!B583</f>
        <v>210</v>
      </c>
      <c r="AE583" s="220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620</v>
      </c>
      <c r="AM583" s="56">
        <f>'[2]Изложницы без бурта'!K583</f>
        <v>0</v>
      </c>
    </row>
    <row r="584" spans="28:39" x14ac:dyDescent="0.25">
      <c r="AB584" s="258" t="str">
        <f t="shared" si="19"/>
        <v/>
      </c>
      <c r="AC584" s="259" t="str">
        <f>IF(COUNTIF(AD$78:AD584,AD584)=1,MAX(AC$78:AC583)+1,"")</f>
        <v/>
      </c>
      <c r="AD584" s="220">
        <f>'[2]Изложницы без бурта'!B584</f>
        <v>210</v>
      </c>
      <c r="AE584" s="220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620</v>
      </c>
      <c r="AM584" s="56">
        <f>'[2]Изложницы без бурта'!K584</f>
        <v>0</v>
      </c>
    </row>
    <row r="585" spans="28:39" x14ac:dyDescent="0.25">
      <c r="AB585" s="258" t="str">
        <f t="shared" si="19"/>
        <v/>
      </c>
      <c r="AC585" s="259" t="str">
        <f>IF(COUNTIF(AD$78:AD585,AD585)=1,MAX(AC$78:AC584)+1,"")</f>
        <v/>
      </c>
      <c r="AD585" s="220">
        <f>'[2]Изложницы без бурта'!B585</f>
        <v>210</v>
      </c>
      <c r="AE585" s="220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620</v>
      </c>
      <c r="AM585" s="56">
        <f>'[2]Изложницы без бурта'!K585</f>
        <v>0</v>
      </c>
    </row>
    <row r="586" spans="28:39" x14ac:dyDescent="0.25">
      <c r="AB586" s="258" t="str">
        <f t="shared" si="19"/>
        <v/>
      </c>
      <c r="AC586" s="259" t="str">
        <f>IF(COUNTIF(AD$78:AD586,AD586)=1,MAX(AC$78:AC585)+1,"")</f>
        <v/>
      </c>
      <c r="AD586" s="220">
        <f>'[2]Изложницы без бурта'!B586</f>
        <v>210</v>
      </c>
      <c r="AE586" s="220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620</v>
      </c>
      <c r="AM586" s="56">
        <f>'[2]Изложницы без бурта'!K586</f>
        <v>0</v>
      </c>
    </row>
    <row r="587" spans="28:39" x14ac:dyDescent="0.25">
      <c r="AB587" s="258" t="str">
        <f t="shared" si="19"/>
        <v/>
      </c>
      <c r="AC587" s="259" t="str">
        <f>IF(COUNTIF(AD$78:AD587,AD587)=1,MAX(AC$78:AC586)+1,"")</f>
        <v/>
      </c>
      <c r="AD587" s="220">
        <f>'[2]Изложницы без бурта'!B587</f>
        <v>210</v>
      </c>
      <c r="AE587" s="220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620</v>
      </c>
      <c r="AM587" s="56">
        <f>'[2]Изложницы без бурта'!K587</f>
        <v>0</v>
      </c>
    </row>
    <row r="588" spans="28:39" x14ac:dyDescent="0.25">
      <c r="AB588" s="258" t="str">
        <f t="shared" si="19"/>
        <v/>
      </c>
      <c r="AC588" s="259" t="str">
        <f>IF(COUNTIF(AD$78:AD588,AD588)=1,MAX(AC$78:AC587)+1,"")</f>
        <v/>
      </c>
      <c r="AD588" s="220">
        <f>'[2]Изложницы без бурта'!B588</f>
        <v>210</v>
      </c>
      <c r="AE588" s="220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620</v>
      </c>
      <c r="AM588" s="56">
        <f>'[2]Изложницы без бурта'!K588</f>
        <v>0</v>
      </c>
    </row>
    <row r="589" spans="28:39" x14ac:dyDescent="0.25">
      <c r="AB589" s="258" t="str">
        <f t="shared" si="19"/>
        <v/>
      </c>
      <c r="AC589" s="259" t="str">
        <f>IF(COUNTIF(AD$78:AD589,AD589)=1,MAX(AC$78:AC588)+1,"")</f>
        <v/>
      </c>
      <c r="AD589" s="220">
        <f>'[2]Изложницы без бурта'!B589</f>
        <v>210</v>
      </c>
      <c r="AE589" s="220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620</v>
      </c>
      <c r="AM589" s="56">
        <f>'[2]Изложницы без бурта'!K589</f>
        <v>0</v>
      </c>
    </row>
    <row r="590" spans="28:39" x14ac:dyDescent="0.25">
      <c r="AB590" s="258" t="str">
        <f t="shared" si="19"/>
        <v/>
      </c>
      <c r="AC590" s="259" t="str">
        <f>IF(COUNTIF(AD$78:AD590,AD590)=1,MAX(AC$78:AC589)+1,"")</f>
        <v/>
      </c>
      <c r="AD590" s="220">
        <f>'[2]Изложницы без бурта'!B590</f>
        <v>210</v>
      </c>
      <c r="AE590" s="220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620</v>
      </c>
      <c r="AM590" s="56">
        <f>'[2]Изложницы без бурта'!K590</f>
        <v>0</v>
      </c>
    </row>
    <row r="591" spans="28:39" x14ac:dyDescent="0.25">
      <c r="AB591" s="258" t="str">
        <f t="shared" si="19"/>
        <v/>
      </c>
      <c r="AC591" s="259" t="str">
        <f>IF(COUNTIF(AD$78:AD591,AD591)=1,MAX(AC$78:AC590)+1,"")</f>
        <v/>
      </c>
      <c r="AD591" s="220">
        <f>'[2]Изложницы без бурта'!B591</f>
        <v>210</v>
      </c>
      <c r="AE591" s="220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620</v>
      </c>
      <c r="AM591" s="56">
        <f>'[2]Изложницы без бурта'!K591</f>
        <v>0</v>
      </c>
    </row>
    <row r="592" spans="28:39" x14ac:dyDescent="0.25">
      <c r="AB592" s="258" t="str">
        <f t="shared" si="19"/>
        <v/>
      </c>
      <c r="AC592" s="259" t="str">
        <f>IF(COUNTIF(AD$78:AD592,AD592)=1,MAX(AC$78:AC591)+1,"")</f>
        <v/>
      </c>
      <c r="AD592" s="220">
        <f>'[2]Изложницы без бурта'!B592</f>
        <v>210</v>
      </c>
      <c r="AE592" s="220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620</v>
      </c>
      <c r="AM592" s="56">
        <f>'[2]Изложницы без бурта'!K592</f>
        <v>0</v>
      </c>
    </row>
    <row r="593" spans="28:39" x14ac:dyDescent="0.25">
      <c r="AB593" s="258" t="str">
        <f t="shared" si="19"/>
        <v/>
      </c>
      <c r="AC593" s="259" t="str">
        <f>IF(COUNTIF(AD$78:AD593,AD593)=1,MAX(AC$78:AC592)+1,"")</f>
        <v/>
      </c>
      <c r="AD593" s="220">
        <f>'[2]Изложницы без бурта'!B593</f>
        <v>210</v>
      </c>
      <c r="AE593" s="220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620</v>
      </c>
      <c r="AM593" s="56">
        <f>'[2]Изложницы без бурта'!K593</f>
        <v>0</v>
      </c>
    </row>
    <row r="594" spans="28:39" x14ac:dyDescent="0.25">
      <c r="AB594" s="258" t="str">
        <f t="shared" si="19"/>
        <v/>
      </c>
      <c r="AC594" s="259" t="str">
        <f>IF(COUNTIF(AD$78:AD594,AD594)=1,MAX(AC$78:AC593)+1,"")</f>
        <v/>
      </c>
      <c r="AD594" s="220">
        <f>'[2]Изложницы без бурта'!B594</f>
        <v>210</v>
      </c>
      <c r="AE594" s="220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620</v>
      </c>
      <c r="AM594" s="56">
        <f>'[2]Изложницы без бурта'!K594</f>
        <v>0</v>
      </c>
    </row>
    <row r="595" spans="28:39" x14ac:dyDescent="0.25">
      <c r="AB595" s="258" t="str">
        <f t="shared" si="19"/>
        <v/>
      </c>
      <c r="AC595" s="259" t="str">
        <f>IF(COUNTIF(AD$78:AD595,AD595)=1,MAX(AC$78:AC594)+1,"")</f>
        <v/>
      </c>
      <c r="AD595" s="220">
        <f>'[2]Изложницы без бурта'!B595</f>
        <v>210</v>
      </c>
      <c r="AE595" s="220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620</v>
      </c>
      <c r="AM595" s="56">
        <f>'[2]Изложницы без бурта'!K595</f>
        <v>0</v>
      </c>
    </row>
    <row r="596" spans="28:39" x14ac:dyDescent="0.25">
      <c r="AB596" s="258" t="str">
        <f t="shared" si="19"/>
        <v/>
      </c>
      <c r="AC596" s="259" t="str">
        <f>IF(COUNTIF(AD$78:AD596,AD596)=1,MAX(AC$78:AC595)+1,"")</f>
        <v/>
      </c>
      <c r="AD596" s="220">
        <f>'[2]Изложницы без бурта'!B596</f>
        <v>210</v>
      </c>
      <c r="AE596" s="220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620</v>
      </c>
      <c r="AM596" s="56">
        <f>'[2]Изложницы без бурта'!K596</f>
        <v>0</v>
      </c>
    </row>
    <row r="597" spans="28:39" x14ac:dyDescent="0.25">
      <c r="AB597" s="258" t="str">
        <f t="shared" si="19"/>
        <v/>
      </c>
      <c r="AC597" s="259" t="str">
        <f>IF(COUNTIF(AD$78:AD597,AD597)=1,MAX(AC$78:AC596)+1,"")</f>
        <v/>
      </c>
      <c r="AD597" s="220">
        <f>'[2]Изложницы без бурта'!B597</f>
        <v>210</v>
      </c>
      <c r="AE597" s="220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620</v>
      </c>
      <c r="AM597" s="56">
        <f>'[2]Изложницы без бурта'!K597</f>
        <v>0</v>
      </c>
    </row>
    <row r="598" spans="28:39" x14ac:dyDescent="0.25">
      <c r="AB598" s="258" t="str">
        <f t="shared" si="19"/>
        <v/>
      </c>
      <c r="AC598" s="259" t="str">
        <f>IF(COUNTIF(AD$78:AD598,AD598)=1,MAX(AC$78:AC597)+1,"")</f>
        <v/>
      </c>
      <c r="AD598" s="220">
        <f>'[2]Изложницы без бурта'!B598</f>
        <v>210</v>
      </c>
      <c r="AE598" s="220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620</v>
      </c>
      <c r="AM598" s="56">
        <f>'[2]Изложницы без бурта'!K598</f>
        <v>0</v>
      </c>
    </row>
    <row r="599" spans="28:39" x14ac:dyDescent="0.25">
      <c r="AB599" s="258" t="str">
        <f t="shared" si="19"/>
        <v/>
      </c>
      <c r="AC599" s="259">
        <f>IF(COUNTIF(AD$78:AD599,AD599)=1,MAX(AC$78:AC598)+1,"")</f>
        <v>50</v>
      </c>
      <c r="AD599" s="220">
        <f>'[2]Изложницы без бурта'!B599</f>
        <v>212.5</v>
      </c>
      <c r="AE599" s="220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621</v>
      </c>
      <c r="AM599" s="56">
        <f>'[2]Изложницы без бурта'!K599</f>
        <v>0</v>
      </c>
    </row>
    <row r="600" spans="28:39" x14ac:dyDescent="0.25">
      <c r="AB600" s="258" t="str">
        <f t="shared" si="19"/>
        <v/>
      </c>
      <c r="AC600" s="259" t="str">
        <f>IF(COUNTIF(AD$78:AD600,AD600)=1,MAX(AC$78:AC599)+1,"")</f>
        <v/>
      </c>
      <c r="AD600" s="220">
        <f>'[2]Изложницы без бурта'!B600</f>
        <v>212.5</v>
      </c>
      <c r="AE600" s="220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621</v>
      </c>
      <c r="AM600" s="56">
        <f>'[2]Изложницы без бурта'!K600</f>
        <v>0</v>
      </c>
    </row>
    <row r="601" spans="28:39" x14ac:dyDescent="0.25">
      <c r="AB601" s="258" t="str">
        <f t="shared" si="19"/>
        <v/>
      </c>
      <c r="AC601" s="259" t="str">
        <f>IF(COUNTIF(AD$78:AD601,AD601)=1,MAX(AC$78:AC600)+1,"")</f>
        <v/>
      </c>
      <c r="AD601" s="220">
        <f>'[2]Изложницы без бурта'!B601</f>
        <v>212.5</v>
      </c>
      <c r="AE601" s="220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621</v>
      </c>
      <c r="AM601" s="56">
        <f>'[2]Изложницы без бурта'!K601</f>
        <v>0</v>
      </c>
    </row>
    <row r="602" spans="28:39" x14ac:dyDescent="0.25">
      <c r="AB602" s="258" t="str">
        <f t="shared" si="19"/>
        <v/>
      </c>
      <c r="AC602" s="259" t="str">
        <f>IF(COUNTIF(AD$78:AD602,AD602)=1,MAX(AC$78:AC601)+1,"")</f>
        <v/>
      </c>
      <c r="AD602" s="220">
        <f>'[2]Изложницы без бурта'!B602</f>
        <v>212.5</v>
      </c>
      <c r="AE602" s="220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621</v>
      </c>
      <c r="AM602" s="56">
        <f>'[2]Изложницы без бурта'!K602</f>
        <v>0</v>
      </c>
    </row>
    <row r="603" spans="28:39" x14ac:dyDescent="0.25">
      <c r="AB603" s="258" t="str">
        <f t="shared" si="19"/>
        <v/>
      </c>
      <c r="AC603" s="259" t="str">
        <f>IF(COUNTIF(AD$78:AD603,AD603)=1,MAX(AC$78:AC602)+1,"")</f>
        <v/>
      </c>
      <c r="AD603" s="220">
        <f>'[2]Изложницы без бурта'!B603</f>
        <v>212.5</v>
      </c>
      <c r="AE603" s="220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621</v>
      </c>
      <c r="AM603" s="56">
        <f>'[2]Изложницы без бурта'!K603</f>
        <v>0</v>
      </c>
    </row>
    <row r="604" spans="28:39" x14ac:dyDescent="0.25">
      <c r="AB604" s="258" t="str">
        <f t="shared" si="19"/>
        <v/>
      </c>
      <c r="AC604" s="259" t="str">
        <f>IF(COUNTIF(AD$78:AD604,AD604)=1,MAX(AC$78:AC603)+1,"")</f>
        <v/>
      </c>
      <c r="AD604" s="220">
        <f>'[2]Изложницы без бурта'!B604</f>
        <v>212.5</v>
      </c>
      <c r="AE604" s="220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621</v>
      </c>
      <c r="AM604" s="56">
        <f>'[2]Изложницы без бурта'!K604</f>
        <v>0</v>
      </c>
    </row>
    <row r="605" spans="28:39" x14ac:dyDescent="0.25">
      <c r="AB605" s="258" t="str">
        <f t="shared" si="19"/>
        <v/>
      </c>
      <c r="AC605" s="259" t="str">
        <f>IF(COUNTIF(AD$78:AD605,AD605)=1,MAX(AC$78:AC604)+1,"")</f>
        <v/>
      </c>
      <c r="AD605" s="220">
        <f>'[2]Изложницы без бурта'!B605</f>
        <v>212.5</v>
      </c>
      <c r="AE605" s="220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621</v>
      </c>
      <c r="AM605" s="56">
        <f>'[2]Изложницы без бурта'!K605</f>
        <v>0</v>
      </c>
    </row>
    <row r="606" spans="28:39" x14ac:dyDescent="0.25">
      <c r="AB606" s="258" t="str">
        <f t="shared" si="19"/>
        <v/>
      </c>
      <c r="AC606" s="259" t="str">
        <f>IF(COUNTIF(AD$78:AD606,AD606)=1,MAX(AC$78:AC605)+1,"")</f>
        <v/>
      </c>
      <c r="AD606" s="220">
        <f>'[2]Изложницы без бурта'!B606</f>
        <v>212.5</v>
      </c>
      <c r="AE606" s="220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621</v>
      </c>
      <c r="AM606" s="56">
        <f>'[2]Изложницы без бурта'!K606</f>
        <v>0</v>
      </c>
    </row>
    <row r="607" spans="28:39" x14ac:dyDescent="0.25">
      <c r="AB607" s="258" t="str">
        <f t="shared" si="19"/>
        <v/>
      </c>
      <c r="AC607" s="259" t="str">
        <f>IF(COUNTIF(AD$78:AD607,AD607)=1,MAX(AC$78:AC606)+1,"")</f>
        <v/>
      </c>
      <c r="AD607" s="220">
        <f>'[2]Изложницы без бурта'!B607</f>
        <v>212.5</v>
      </c>
      <c r="AE607" s="220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621</v>
      </c>
      <c r="AM607" s="56">
        <f>'[2]Изложницы без бурта'!K607</f>
        <v>0</v>
      </c>
    </row>
    <row r="608" spans="28:39" x14ac:dyDescent="0.25">
      <c r="AB608" s="258" t="str">
        <f t="shared" si="19"/>
        <v/>
      </c>
      <c r="AC608" s="259">
        <f>IF(COUNTIF(AD$78:AD608,AD608)=1,MAX(AC$78:AC607)+1,"")</f>
        <v>51</v>
      </c>
      <c r="AD608" s="220">
        <f>'[2]Изложницы без бурта'!B608</f>
        <v>215</v>
      </c>
      <c r="AE608" s="220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622</v>
      </c>
      <c r="AM608" s="56">
        <f>'[2]Изложницы без бурта'!K608</f>
        <v>0</v>
      </c>
    </row>
    <row r="609" spans="28:39" x14ac:dyDescent="0.25">
      <c r="AB609" s="258" t="str">
        <f t="shared" si="19"/>
        <v/>
      </c>
      <c r="AC609" s="259" t="str">
        <f>IF(COUNTIF(AD$78:AD609,AD609)=1,MAX(AC$78:AC608)+1,"")</f>
        <v/>
      </c>
      <c r="AD609" s="220">
        <f>'[2]Изложницы без бурта'!B609</f>
        <v>215</v>
      </c>
      <c r="AE609" s="220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622</v>
      </c>
      <c r="AM609" s="56">
        <f>'[2]Изложницы без бурта'!K609</f>
        <v>0</v>
      </c>
    </row>
    <row r="610" spans="28:39" x14ac:dyDescent="0.25">
      <c r="AB610" s="258" t="str">
        <f t="shared" si="19"/>
        <v/>
      </c>
      <c r="AC610" s="259" t="str">
        <f>IF(COUNTIF(AD$78:AD610,AD610)=1,MAX(AC$78:AC609)+1,"")</f>
        <v/>
      </c>
      <c r="AD610" s="220">
        <f>'[2]Изложницы без бурта'!B610</f>
        <v>215</v>
      </c>
      <c r="AE610" s="220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622</v>
      </c>
      <c r="AM610" s="56">
        <f>'[2]Изложницы без бурта'!K610</f>
        <v>0</v>
      </c>
    </row>
    <row r="611" spans="28:39" x14ac:dyDescent="0.25">
      <c r="AB611" s="258" t="str">
        <f t="shared" si="19"/>
        <v/>
      </c>
      <c r="AC611" s="259" t="str">
        <f>IF(COUNTIF(AD$78:AD611,AD611)=1,MAX(AC$78:AC610)+1,"")</f>
        <v/>
      </c>
      <c r="AD611" s="220">
        <f>'[2]Изложницы без бурта'!B611</f>
        <v>215</v>
      </c>
      <c r="AE611" s="220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622</v>
      </c>
      <c r="AM611" s="56">
        <f>'[2]Изложницы без бурта'!K611</f>
        <v>0</v>
      </c>
    </row>
    <row r="612" spans="28:39" x14ac:dyDescent="0.25">
      <c r="AB612" s="258" t="str">
        <f t="shared" si="19"/>
        <v/>
      </c>
      <c r="AC612" s="259" t="str">
        <f>IF(COUNTIF(AD$78:AD612,AD612)=1,MAX(AC$78:AC611)+1,"")</f>
        <v/>
      </c>
      <c r="AD612" s="220">
        <f>'[2]Изложницы без бурта'!B612</f>
        <v>215</v>
      </c>
      <c r="AE612" s="220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622</v>
      </c>
      <c r="AM612" s="56">
        <f>'[2]Изложницы без бурта'!K612</f>
        <v>0</v>
      </c>
    </row>
    <row r="613" spans="28:39" x14ac:dyDescent="0.25">
      <c r="AB613" s="258" t="str">
        <f t="shared" si="19"/>
        <v/>
      </c>
      <c r="AC613" s="259" t="str">
        <f>IF(COUNTIF(AD$78:AD613,AD613)=1,MAX(AC$78:AC612)+1,"")</f>
        <v/>
      </c>
      <c r="AD613" s="220">
        <f>'[2]Изложницы без бурта'!B613</f>
        <v>215</v>
      </c>
      <c r="AE613" s="220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622</v>
      </c>
      <c r="AM613" s="56">
        <f>'[2]Изложницы без бурта'!K613</f>
        <v>0</v>
      </c>
    </row>
    <row r="614" spans="28:39" x14ac:dyDescent="0.25">
      <c r="AB614" s="258" t="str">
        <f t="shared" si="19"/>
        <v/>
      </c>
      <c r="AC614" s="259" t="str">
        <f>IF(COUNTIF(AD$78:AD614,AD614)=1,MAX(AC$78:AC613)+1,"")</f>
        <v/>
      </c>
      <c r="AD614" s="220">
        <f>'[2]Изложницы без бурта'!B614</f>
        <v>215</v>
      </c>
      <c r="AE614" s="220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622</v>
      </c>
      <c r="AM614" s="56">
        <f>'[2]Изложницы без бурта'!K614</f>
        <v>0</v>
      </c>
    </row>
    <row r="615" spans="28:39" x14ac:dyDescent="0.25">
      <c r="AB615" s="258" t="str">
        <f t="shared" si="19"/>
        <v/>
      </c>
      <c r="AC615" s="259" t="str">
        <f>IF(COUNTIF(AD$78:AD615,AD615)=1,MAX(AC$78:AC614)+1,"")</f>
        <v/>
      </c>
      <c r="AD615" s="220">
        <f>'[2]Изложницы без бурта'!B615</f>
        <v>215</v>
      </c>
      <c r="AE615" s="220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622</v>
      </c>
      <c r="AM615" s="56">
        <f>'[2]Изложницы без бурта'!K615</f>
        <v>0</v>
      </c>
    </row>
    <row r="616" spans="28:39" x14ac:dyDescent="0.25">
      <c r="AB616" s="258" t="str">
        <f t="shared" si="19"/>
        <v/>
      </c>
      <c r="AC616" s="259" t="str">
        <f>IF(COUNTIF(AD$78:AD616,AD616)=1,MAX(AC$78:AC615)+1,"")</f>
        <v/>
      </c>
      <c r="AD616" s="220">
        <f>'[2]Изложницы без бурта'!B616</f>
        <v>215</v>
      </c>
      <c r="AE616" s="220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622</v>
      </c>
      <c r="AM616" s="56">
        <f>'[2]Изложницы без бурта'!K616</f>
        <v>0</v>
      </c>
    </row>
    <row r="617" spans="28:39" x14ac:dyDescent="0.25">
      <c r="AB617" s="258" t="str">
        <f t="shared" si="19"/>
        <v/>
      </c>
      <c r="AC617" s="259" t="str">
        <f>IF(COUNTIF(AD$78:AD617,AD617)=1,MAX(AC$78:AC616)+1,"")</f>
        <v/>
      </c>
      <c r="AD617" s="220">
        <f>'[2]Изложницы без бурта'!B617</f>
        <v>215</v>
      </c>
      <c r="AE617" s="220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622</v>
      </c>
      <c r="AM617" s="56">
        <f>'[2]Изложницы без бурта'!K617</f>
        <v>0</v>
      </c>
    </row>
    <row r="618" spans="28:39" x14ac:dyDescent="0.25">
      <c r="AB618" s="258" t="str">
        <f t="shared" si="19"/>
        <v/>
      </c>
      <c r="AC618" s="259" t="str">
        <f>IF(COUNTIF(AD$78:AD618,AD618)=1,MAX(AC$78:AC617)+1,"")</f>
        <v/>
      </c>
      <c r="AD618" s="220">
        <f>'[2]Изложницы без бурта'!B618</f>
        <v>215</v>
      </c>
      <c r="AE618" s="220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622</v>
      </c>
      <c r="AM618" s="56">
        <f>'[2]Изложницы без бурта'!K618</f>
        <v>0</v>
      </c>
    </row>
    <row r="619" spans="28:39" x14ac:dyDescent="0.25">
      <c r="AB619" s="258" t="str">
        <f t="shared" si="19"/>
        <v/>
      </c>
      <c r="AC619" s="259" t="str">
        <f>IF(COUNTIF(AD$78:AD619,AD619)=1,MAX(AC$78:AC618)+1,"")</f>
        <v/>
      </c>
      <c r="AD619" s="220">
        <f>'[2]Изложницы без бурта'!B619</f>
        <v>215</v>
      </c>
      <c r="AE619" s="220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622</v>
      </c>
      <c r="AM619" s="56">
        <f>'[2]Изложницы без бурта'!K619</f>
        <v>0</v>
      </c>
    </row>
    <row r="620" spans="28:39" x14ac:dyDescent="0.25">
      <c r="AB620" s="258" t="str">
        <f t="shared" si="19"/>
        <v/>
      </c>
      <c r="AC620" s="259" t="str">
        <f>IF(COUNTIF(AD$78:AD620,AD620)=1,MAX(AC$78:AC619)+1,"")</f>
        <v/>
      </c>
      <c r="AD620" s="220">
        <f>'[2]Изложницы без бурта'!B620</f>
        <v>215</v>
      </c>
      <c r="AE620" s="220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622</v>
      </c>
      <c r="AM620" s="56">
        <f>'[2]Изложницы без бурта'!K620</f>
        <v>0</v>
      </c>
    </row>
    <row r="621" spans="28:39" x14ac:dyDescent="0.25">
      <c r="AB621" s="258" t="str">
        <f t="shared" si="19"/>
        <v/>
      </c>
      <c r="AC621" s="259" t="str">
        <f>IF(COUNTIF(AD$78:AD621,AD621)=1,MAX(AC$78:AC620)+1,"")</f>
        <v/>
      </c>
      <c r="AD621" s="220">
        <f>'[2]Изложницы без бурта'!B621</f>
        <v>215</v>
      </c>
      <c r="AE621" s="220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622</v>
      </c>
      <c r="AM621" s="56">
        <f>'[2]Изложницы без бурта'!K621</f>
        <v>0</v>
      </c>
    </row>
    <row r="622" spans="28:39" x14ac:dyDescent="0.25">
      <c r="AB622" s="258" t="str">
        <f t="shared" si="19"/>
        <v/>
      </c>
      <c r="AC622" s="259" t="str">
        <f>IF(COUNTIF(AD$78:AD622,AD622)=1,MAX(AC$78:AC621)+1,"")</f>
        <v/>
      </c>
      <c r="AD622" s="220">
        <f>'[2]Изложницы без бурта'!B622</f>
        <v>215</v>
      </c>
      <c r="AE622" s="220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622</v>
      </c>
      <c r="AM622" s="56">
        <f>'[2]Изложницы без бурта'!K622</f>
        <v>0</v>
      </c>
    </row>
    <row r="623" spans="28:39" x14ac:dyDescent="0.25">
      <c r="AB623" s="258" t="str">
        <f t="shared" si="19"/>
        <v/>
      </c>
      <c r="AC623" s="259" t="str">
        <f>IF(COUNTIF(AD$78:AD623,AD623)=1,MAX(AC$78:AC622)+1,"")</f>
        <v/>
      </c>
      <c r="AD623" s="220">
        <f>'[2]Изложницы без бурта'!B623</f>
        <v>215</v>
      </c>
      <c r="AE623" s="220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622</v>
      </c>
      <c r="AM623" s="56">
        <f>'[2]Изложницы без бурта'!K623</f>
        <v>0</v>
      </c>
    </row>
    <row r="624" spans="28:39" x14ac:dyDescent="0.25">
      <c r="AB624" s="258" t="str">
        <f t="shared" si="19"/>
        <v/>
      </c>
      <c r="AC624" s="259">
        <f>IF(COUNTIF(AD$78:AD624,AD624)=1,MAX(AC$78:AC623)+1,"")</f>
        <v>52</v>
      </c>
      <c r="AD624" s="220">
        <f>'[2]Изложницы без бурта'!B624</f>
        <v>217.5</v>
      </c>
      <c r="AE624" s="220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623</v>
      </c>
      <c r="AM624" s="56">
        <f>'[2]Изложницы без бурта'!K624</f>
        <v>0</v>
      </c>
    </row>
    <row r="625" spans="28:39" x14ac:dyDescent="0.25">
      <c r="AB625" s="258" t="str">
        <f t="shared" si="19"/>
        <v/>
      </c>
      <c r="AC625" s="259" t="str">
        <f>IF(COUNTIF(AD$78:AD625,AD625)=1,MAX(AC$78:AC624)+1,"")</f>
        <v/>
      </c>
      <c r="AD625" s="220">
        <f>'[2]Изложницы без бурта'!B625</f>
        <v>217.5</v>
      </c>
      <c r="AE625" s="220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623</v>
      </c>
      <c r="AM625" s="56">
        <f>'[2]Изложницы без бурта'!K625</f>
        <v>0</v>
      </c>
    </row>
    <row r="626" spans="28:39" x14ac:dyDescent="0.25">
      <c r="AB626" s="258" t="str">
        <f t="shared" si="19"/>
        <v/>
      </c>
      <c r="AC626" s="259" t="str">
        <f>IF(COUNTIF(AD$78:AD626,AD626)=1,MAX(AC$78:AC625)+1,"")</f>
        <v/>
      </c>
      <c r="AD626" s="220">
        <f>'[2]Изложницы без бурта'!B626</f>
        <v>217.5</v>
      </c>
      <c r="AE626" s="220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623</v>
      </c>
      <c r="AM626" s="56">
        <f>'[2]Изложницы без бурта'!K626</f>
        <v>0</v>
      </c>
    </row>
    <row r="627" spans="28:39" x14ac:dyDescent="0.25">
      <c r="AB627" s="258" t="str">
        <f t="shared" si="19"/>
        <v/>
      </c>
      <c r="AC627" s="259" t="str">
        <f>IF(COUNTIF(AD$78:AD627,AD627)=1,MAX(AC$78:AC626)+1,"")</f>
        <v/>
      </c>
      <c r="AD627" s="220">
        <f>'[2]Изложницы без бурта'!B627</f>
        <v>217.5</v>
      </c>
      <c r="AE627" s="220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623</v>
      </c>
      <c r="AM627" s="56">
        <f>'[2]Изложницы без бурта'!K627</f>
        <v>0</v>
      </c>
    </row>
    <row r="628" spans="28:39" x14ac:dyDescent="0.25">
      <c r="AB628" s="258" t="str">
        <f t="shared" si="19"/>
        <v/>
      </c>
      <c r="AC628" s="259" t="str">
        <f>IF(COUNTIF(AD$78:AD628,AD628)=1,MAX(AC$78:AC627)+1,"")</f>
        <v/>
      </c>
      <c r="AD628" s="220">
        <f>'[2]Изложницы без бурта'!B628</f>
        <v>217.5</v>
      </c>
      <c r="AE628" s="220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623</v>
      </c>
      <c r="AM628" s="56">
        <f>'[2]Изложницы без бурта'!K628</f>
        <v>0</v>
      </c>
    </row>
    <row r="629" spans="28:39" x14ac:dyDescent="0.25">
      <c r="AB629" s="258" t="str">
        <f t="shared" si="19"/>
        <v/>
      </c>
      <c r="AC629" s="259" t="str">
        <f>IF(COUNTIF(AD$78:AD629,AD629)=1,MAX(AC$78:AC628)+1,"")</f>
        <v/>
      </c>
      <c r="AD629" s="220">
        <f>'[2]Изложницы без бурта'!B629</f>
        <v>217.5</v>
      </c>
      <c r="AE629" s="220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623</v>
      </c>
      <c r="AM629" s="56">
        <f>'[2]Изложницы без бурта'!K629</f>
        <v>0</v>
      </c>
    </row>
    <row r="630" spans="28:39" x14ac:dyDescent="0.25">
      <c r="AB630" s="258" t="str">
        <f t="shared" si="19"/>
        <v/>
      </c>
      <c r="AC630" s="259" t="str">
        <f>IF(COUNTIF(AD$78:AD630,AD630)=1,MAX(AC$78:AC629)+1,"")</f>
        <v/>
      </c>
      <c r="AD630" s="220">
        <f>'[2]Изложницы без бурта'!B630</f>
        <v>217.5</v>
      </c>
      <c r="AE630" s="220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623</v>
      </c>
      <c r="AM630" s="56">
        <f>'[2]Изложницы без бурта'!K630</f>
        <v>0</v>
      </c>
    </row>
    <row r="631" spans="28:39" x14ac:dyDescent="0.25">
      <c r="AB631" s="258" t="str">
        <f t="shared" si="19"/>
        <v/>
      </c>
      <c r="AC631" s="259" t="str">
        <f>IF(COUNTIF(AD$78:AD631,AD631)=1,MAX(AC$78:AC630)+1,"")</f>
        <v/>
      </c>
      <c r="AD631" s="220">
        <f>'[2]Изложницы без бурта'!B631</f>
        <v>217.5</v>
      </c>
      <c r="AE631" s="220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623</v>
      </c>
      <c r="AM631" s="56">
        <f>'[2]Изложницы без бурта'!K631</f>
        <v>0</v>
      </c>
    </row>
    <row r="632" spans="28:39" x14ac:dyDescent="0.25">
      <c r="AB632" s="258" t="str">
        <f t="shared" si="19"/>
        <v/>
      </c>
      <c r="AC632" s="259" t="str">
        <f>IF(COUNTIF(AD$78:AD632,AD632)=1,MAX(AC$78:AC631)+1,"")</f>
        <v/>
      </c>
      <c r="AD632" s="220">
        <f>'[2]Изложницы без бурта'!B632</f>
        <v>217.5</v>
      </c>
      <c r="AE632" s="220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623</v>
      </c>
      <c r="AM632" s="56">
        <f>'[2]Изложницы без бурта'!K632</f>
        <v>0</v>
      </c>
    </row>
    <row r="633" spans="28:39" x14ac:dyDescent="0.25">
      <c r="AB633" s="258" t="str">
        <f t="shared" ref="AB633:AB696" si="20">IF(MAX(AC633:AC1710)&lt;ROW(555:555),"",VLOOKUP(ROW(555:555),AC633:AD1710,2))</f>
        <v/>
      </c>
      <c r="AC633" s="259">
        <f>IF(COUNTIF(AD$78:AD633,AD633)=1,MAX(AC$78:AC632)+1,"")</f>
        <v>53</v>
      </c>
      <c r="AD633" s="220">
        <f>'[2]Изложницы без бурта'!B633</f>
        <v>220</v>
      </c>
      <c r="AE633" s="220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624</v>
      </c>
      <c r="AM633" s="56">
        <f>'[2]Изложницы без бурта'!K633</f>
        <v>0</v>
      </c>
    </row>
    <row r="634" spans="28:39" x14ac:dyDescent="0.25">
      <c r="AB634" s="258" t="str">
        <f t="shared" si="20"/>
        <v/>
      </c>
      <c r="AC634" s="259" t="str">
        <f>IF(COUNTIF(AD$78:AD634,AD634)=1,MAX(AC$78:AC633)+1,"")</f>
        <v/>
      </c>
      <c r="AD634" s="220">
        <f>'[2]Изложницы без бурта'!B634</f>
        <v>220</v>
      </c>
      <c r="AE634" s="220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624</v>
      </c>
      <c r="AM634" s="56">
        <f>'[2]Изложницы без бурта'!K634</f>
        <v>0</v>
      </c>
    </row>
    <row r="635" spans="28:39" x14ac:dyDescent="0.25">
      <c r="AB635" s="258" t="str">
        <f t="shared" si="20"/>
        <v/>
      </c>
      <c r="AC635" s="259" t="str">
        <f>IF(COUNTIF(AD$78:AD635,AD635)=1,MAX(AC$78:AC634)+1,"")</f>
        <v/>
      </c>
      <c r="AD635" s="220">
        <f>'[2]Изложницы без бурта'!B635</f>
        <v>220</v>
      </c>
      <c r="AE635" s="220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624</v>
      </c>
      <c r="AM635" s="56">
        <f>'[2]Изложницы без бурта'!K635</f>
        <v>0</v>
      </c>
    </row>
    <row r="636" spans="28:39" x14ac:dyDescent="0.25">
      <c r="AB636" s="258" t="str">
        <f t="shared" si="20"/>
        <v/>
      </c>
      <c r="AC636" s="259" t="str">
        <f>IF(COUNTIF(AD$78:AD636,AD636)=1,MAX(AC$78:AC635)+1,"")</f>
        <v/>
      </c>
      <c r="AD636" s="220">
        <f>'[2]Изложницы без бурта'!B636</f>
        <v>220</v>
      </c>
      <c r="AE636" s="220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624</v>
      </c>
      <c r="AM636" s="56">
        <f>'[2]Изложницы без бурта'!K636</f>
        <v>0</v>
      </c>
    </row>
    <row r="637" spans="28:39" x14ac:dyDescent="0.25">
      <c r="AB637" s="258" t="str">
        <f t="shared" si="20"/>
        <v/>
      </c>
      <c r="AC637" s="259" t="str">
        <f>IF(COUNTIF(AD$78:AD637,AD637)=1,MAX(AC$78:AC636)+1,"")</f>
        <v/>
      </c>
      <c r="AD637" s="220">
        <f>'[2]Изложницы без бурта'!B637</f>
        <v>220</v>
      </c>
      <c r="AE637" s="220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624</v>
      </c>
      <c r="AM637" s="56">
        <f>'[2]Изложницы без бурта'!K637</f>
        <v>0</v>
      </c>
    </row>
    <row r="638" spans="28:39" x14ac:dyDescent="0.25">
      <c r="AB638" s="258" t="str">
        <f t="shared" si="20"/>
        <v/>
      </c>
      <c r="AC638" s="259" t="str">
        <f>IF(COUNTIF(AD$78:AD638,AD638)=1,MAX(AC$78:AC637)+1,"")</f>
        <v/>
      </c>
      <c r="AD638" s="220">
        <f>'[2]Изложницы без бурта'!B638</f>
        <v>220</v>
      </c>
      <c r="AE638" s="220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624</v>
      </c>
      <c r="AM638" s="56">
        <f>'[2]Изложницы без бурта'!K638</f>
        <v>0</v>
      </c>
    </row>
    <row r="639" spans="28:39" x14ac:dyDescent="0.25">
      <c r="AB639" s="258" t="str">
        <f t="shared" si="20"/>
        <v/>
      </c>
      <c r="AC639" s="259" t="str">
        <f>IF(COUNTIF(AD$78:AD639,AD639)=1,MAX(AC$78:AC638)+1,"")</f>
        <v/>
      </c>
      <c r="AD639" s="220">
        <f>'[2]Изложницы без бурта'!B639</f>
        <v>220</v>
      </c>
      <c r="AE639" s="220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624</v>
      </c>
      <c r="AM639" s="56">
        <f>'[2]Изложницы без бурта'!K639</f>
        <v>0</v>
      </c>
    </row>
    <row r="640" spans="28:39" x14ac:dyDescent="0.25">
      <c r="AB640" s="258" t="str">
        <f t="shared" si="20"/>
        <v/>
      </c>
      <c r="AC640" s="259" t="str">
        <f>IF(COUNTIF(AD$78:AD640,AD640)=1,MAX(AC$78:AC639)+1,"")</f>
        <v/>
      </c>
      <c r="AD640" s="220">
        <f>'[2]Изложницы без бурта'!B640</f>
        <v>220</v>
      </c>
      <c r="AE640" s="220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624</v>
      </c>
      <c r="AM640" s="56">
        <f>'[2]Изложницы без бурта'!K640</f>
        <v>0</v>
      </c>
    </row>
    <row r="641" spans="28:39" x14ac:dyDescent="0.25">
      <c r="AB641" s="258" t="str">
        <f t="shared" si="20"/>
        <v/>
      </c>
      <c r="AC641" s="259" t="str">
        <f>IF(COUNTIF(AD$78:AD641,AD641)=1,MAX(AC$78:AC640)+1,"")</f>
        <v/>
      </c>
      <c r="AD641" s="220">
        <f>'[2]Изложницы без бурта'!B641</f>
        <v>220</v>
      </c>
      <c r="AE641" s="220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624</v>
      </c>
      <c r="AM641" s="56">
        <f>'[2]Изложницы без бурта'!K641</f>
        <v>0</v>
      </c>
    </row>
    <row r="642" spans="28:39" x14ac:dyDescent="0.25">
      <c r="AB642" s="258" t="str">
        <f t="shared" si="20"/>
        <v/>
      </c>
      <c r="AC642" s="259" t="str">
        <f>IF(COUNTIF(AD$78:AD642,AD642)=1,MAX(AC$78:AC641)+1,"")</f>
        <v/>
      </c>
      <c r="AD642" s="220">
        <f>'[2]Изложницы без бурта'!B642</f>
        <v>220</v>
      </c>
      <c r="AE642" s="220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624</v>
      </c>
      <c r="AM642" s="56">
        <f>'[2]Изложницы без бурта'!K642</f>
        <v>0</v>
      </c>
    </row>
    <row r="643" spans="28:39" x14ac:dyDescent="0.25">
      <c r="AB643" s="258" t="str">
        <f t="shared" si="20"/>
        <v/>
      </c>
      <c r="AC643" s="259" t="str">
        <f>IF(COUNTIF(AD$78:AD643,AD643)=1,MAX(AC$78:AC642)+1,"")</f>
        <v/>
      </c>
      <c r="AD643" s="220">
        <f>'[2]Изложницы без бурта'!B643</f>
        <v>220</v>
      </c>
      <c r="AE643" s="220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624</v>
      </c>
      <c r="AM643" s="56">
        <f>'[2]Изложницы без бурта'!K643</f>
        <v>0</v>
      </c>
    </row>
    <row r="644" spans="28:39" x14ac:dyDescent="0.25">
      <c r="AB644" s="258" t="str">
        <f t="shared" si="20"/>
        <v/>
      </c>
      <c r="AC644" s="259" t="str">
        <f>IF(COUNTIF(AD$78:AD644,AD644)=1,MAX(AC$78:AC643)+1,"")</f>
        <v/>
      </c>
      <c r="AD644" s="220">
        <f>'[2]Изложницы без бурта'!B644</f>
        <v>220</v>
      </c>
      <c r="AE644" s="220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624</v>
      </c>
      <c r="AM644" s="56">
        <f>'[2]Изложницы без бурта'!K644</f>
        <v>0</v>
      </c>
    </row>
    <row r="645" spans="28:39" x14ac:dyDescent="0.25">
      <c r="AB645" s="258" t="str">
        <f t="shared" si="20"/>
        <v/>
      </c>
      <c r="AC645" s="259" t="str">
        <f>IF(COUNTIF(AD$78:AD645,AD645)=1,MAX(AC$78:AC644)+1,"")</f>
        <v/>
      </c>
      <c r="AD645" s="220">
        <f>'[2]Изложницы без бурта'!B645</f>
        <v>220</v>
      </c>
      <c r="AE645" s="220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624</v>
      </c>
      <c r="AM645" s="56">
        <f>'[2]Изложницы без бурта'!K645</f>
        <v>0</v>
      </c>
    </row>
    <row r="646" spans="28:39" x14ac:dyDescent="0.25">
      <c r="AB646" s="258" t="str">
        <f t="shared" si="20"/>
        <v/>
      </c>
      <c r="AC646" s="259" t="str">
        <f>IF(COUNTIF(AD$78:AD646,AD646)=1,MAX(AC$78:AC645)+1,"")</f>
        <v/>
      </c>
      <c r="AD646" s="220">
        <f>'[2]Изложницы без бурта'!B646</f>
        <v>220</v>
      </c>
      <c r="AE646" s="220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624</v>
      </c>
      <c r="AM646" s="56">
        <f>'[2]Изложницы без бурта'!K646</f>
        <v>0</v>
      </c>
    </row>
    <row r="647" spans="28:39" x14ac:dyDescent="0.25">
      <c r="AB647" s="258" t="str">
        <f t="shared" si="20"/>
        <v/>
      </c>
      <c r="AC647" s="259" t="str">
        <f>IF(COUNTIF(AD$78:AD647,AD647)=1,MAX(AC$78:AC646)+1,"")</f>
        <v/>
      </c>
      <c r="AD647" s="220">
        <f>'[2]Изложницы без бурта'!B647</f>
        <v>220</v>
      </c>
      <c r="AE647" s="220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624</v>
      </c>
      <c r="AM647" s="56">
        <f>'[2]Изложницы без бурта'!K647</f>
        <v>0</v>
      </c>
    </row>
    <row r="648" spans="28:39" x14ac:dyDescent="0.25">
      <c r="AB648" s="258" t="str">
        <f t="shared" si="20"/>
        <v/>
      </c>
      <c r="AC648" s="259">
        <f>IF(COUNTIF(AD$78:AD648,AD648)=1,MAX(AC$78:AC647)+1,"")</f>
        <v>54</v>
      </c>
      <c r="AD648" s="220">
        <f>'[2]Изложницы без бурта'!B648</f>
        <v>222.5</v>
      </c>
      <c r="AE648" s="220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625</v>
      </c>
      <c r="AM648" s="56">
        <f>'[2]Изложницы без бурта'!K648</f>
        <v>0</v>
      </c>
    </row>
    <row r="649" spans="28:39" x14ac:dyDescent="0.25">
      <c r="AB649" s="258" t="str">
        <f t="shared" si="20"/>
        <v/>
      </c>
      <c r="AC649" s="259" t="str">
        <f>IF(COUNTIF(AD$78:AD649,AD649)=1,MAX(AC$78:AC648)+1,"")</f>
        <v/>
      </c>
      <c r="AD649" s="220">
        <f>'[2]Изложницы без бурта'!B649</f>
        <v>222.5</v>
      </c>
      <c r="AE649" s="220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625</v>
      </c>
      <c r="AM649" s="56">
        <f>'[2]Изложницы без бурта'!K649</f>
        <v>0</v>
      </c>
    </row>
    <row r="650" spans="28:39" x14ac:dyDescent="0.25">
      <c r="AB650" s="258" t="str">
        <f t="shared" si="20"/>
        <v/>
      </c>
      <c r="AC650" s="259" t="str">
        <f>IF(COUNTIF(AD$78:AD650,AD650)=1,MAX(AC$78:AC649)+1,"")</f>
        <v/>
      </c>
      <c r="AD650" s="220">
        <f>'[2]Изложницы без бурта'!B650</f>
        <v>222.5</v>
      </c>
      <c r="AE650" s="220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625</v>
      </c>
      <c r="AM650" s="56">
        <f>'[2]Изложницы без бурта'!K650</f>
        <v>0</v>
      </c>
    </row>
    <row r="651" spans="28:39" x14ac:dyDescent="0.25">
      <c r="AB651" s="258" t="str">
        <f t="shared" si="20"/>
        <v/>
      </c>
      <c r="AC651" s="259" t="str">
        <f>IF(COUNTIF(AD$78:AD651,AD651)=1,MAX(AC$78:AC650)+1,"")</f>
        <v/>
      </c>
      <c r="AD651" s="220">
        <f>'[2]Изложницы без бурта'!B651</f>
        <v>222.5</v>
      </c>
      <c r="AE651" s="220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625</v>
      </c>
      <c r="AM651" s="56">
        <f>'[2]Изложницы без бурта'!K651</f>
        <v>0</v>
      </c>
    </row>
    <row r="652" spans="28:39" x14ac:dyDescent="0.25">
      <c r="AB652" s="258" t="str">
        <f t="shared" si="20"/>
        <v/>
      </c>
      <c r="AC652" s="259" t="str">
        <f>IF(COUNTIF(AD$78:AD652,AD652)=1,MAX(AC$78:AC651)+1,"")</f>
        <v/>
      </c>
      <c r="AD652" s="220">
        <f>'[2]Изложницы без бурта'!B652</f>
        <v>222.5</v>
      </c>
      <c r="AE652" s="220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625</v>
      </c>
      <c r="AM652" s="56">
        <f>'[2]Изложницы без бурта'!K652</f>
        <v>0</v>
      </c>
    </row>
    <row r="653" spans="28:39" x14ac:dyDescent="0.25">
      <c r="AB653" s="258" t="str">
        <f t="shared" si="20"/>
        <v/>
      </c>
      <c r="AC653" s="259" t="str">
        <f>IF(COUNTIF(AD$78:AD653,AD653)=1,MAX(AC$78:AC652)+1,"")</f>
        <v/>
      </c>
      <c r="AD653" s="220">
        <f>'[2]Изложницы без бурта'!B653</f>
        <v>222.5</v>
      </c>
      <c r="AE653" s="220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625</v>
      </c>
      <c r="AM653" s="56">
        <f>'[2]Изложницы без бурта'!K653</f>
        <v>0</v>
      </c>
    </row>
    <row r="654" spans="28:39" x14ac:dyDescent="0.25">
      <c r="AB654" s="258" t="str">
        <f t="shared" si="20"/>
        <v/>
      </c>
      <c r="AC654" s="259" t="str">
        <f>IF(COUNTIF(AD$78:AD654,AD654)=1,MAX(AC$78:AC653)+1,"")</f>
        <v/>
      </c>
      <c r="AD654" s="220">
        <f>'[2]Изложницы без бурта'!B654</f>
        <v>222.5</v>
      </c>
      <c r="AE654" s="220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625</v>
      </c>
      <c r="AM654" s="56">
        <f>'[2]Изложницы без бурта'!K654</f>
        <v>0</v>
      </c>
    </row>
    <row r="655" spans="28:39" x14ac:dyDescent="0.25">
      <c r="AB655" s="258" t="str">
        <f t="shared" si="20"/>
        <v/>
      </c>
      <c r="AC655" s="259" t="str">
        <f>IF(COUNTIF(AD$78:AD655,AD655)=1,MAX(AC$78:AC654)+1,"")</f>
        <v/>
      </c>
      <c r="AD655" s="220">
        <f>'[2]Изложницы без бурта'!B655</f>
        <v>222.5</v>
      </c>
      <c r="AE655" s="220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625</v>
      </c>
      <c r="AM655" s="56">
        <f>'[2]Изложницы без бурта'!K655</f>
        <v>0</v>
      </c>
    </row>
    <row r="656" spans="28:39" x14ac:dyDescent="0.25">
      <c r="AB656" s="258" t="str">
        <f t="shared" si="20"/>
        <v/>
      </c>
      <c r="AC656" s="259">
        <f>IF(COUNTIF(AD$78:AD656,AD656)=1,MAX(AC$78:AC655)+1,"")</f>
        <v>55</v>
      </c>
      <c r="AD656" s="220">
        <f>'[2]Изложницы без бурта'!B656</f>
        <v>225</v>
      </c>
      <c r="AE656" s="220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626</v>
      </c>
      <c r="AM656" s="56">
        <f>'[2]Изложницы без бурта'!K656</f>
        <v>0</v>
      </c>
    </row>
    <row r="657" spans="28:39" x14ac:dyDescent="0.25">
      <c r="AB657" s="258" t="str">
        <f t="shared" si="20"/>
        <v/>
      </c>
      <c r="AC657" s="259" t="str">
        <f>IF(COUNTIF(AD$78:AD657,AD657)=1,MAX(AC$78:AC656)+1,"")</f>
        <v/>
      </c>
      <c r="AD657" s="220">
        <f>'[2]Изложницы без бурта'!B657</f>
        <v>225</v>
      </c>
      <c r="AE657" s="220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626</v>
      </c>
      <c r="AM657" s="56">
        <f>'[2]Изложницы без бурта'!K657</f>
        <v>0</v>
      </c>
    </row>
    <row r="658" spans="28:39" x14ac:dyDescent="0.25">
      <c r="AB658" s="258" t="str">
        <f t="shared" si="20"/>
        <v/>
      </c>
      <c r="AC658" s="259" t="str">
        <f>IF(COUNTIF(AD$78:AD658,AD658)=1,MAX(AC$78:AC657)+1,"")</f>
        <v/>
      </c>
      <c r="AD658" s="220">
        <f>'[2]Изложницы без бурта'!B658</f>
        <v>225</v>
      </c>
      <c r="AE658" s="220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626</v>
      </c>
      <c r="AM658" s="56">
        <f>'[2]Изложницы без бурта'!K658</f>
        <v>0</v>
      </c>
    </row>
    <row r="659" spans="28:39" x14ac:dyDescent="0.25">
      <c r="AB659" s="258" t="str">
        <f t="shared" si="20"/>
        <v/>
      </c>
      <c r="AC659" s="259" t="str">
        <f>IF(COUNTIF(AD$78:AD659,AD659)=1,MAX(AC$78:AC658)+1,"")</f>
        <v/>
      </c>
      <c r="AD659" s="220">
        <f>'[2]Изложницы без бурта'!B659</f>
        <v>225</v>
      </c>
      <c r="AE659" s="220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626</v>
      </c>
      <c r="AM659" s="56">
        <f>'[2]Изложницы без бурта'!K659</f>
        <v>0</v>
      </c>
    </row>
    <row r="660" spans="28:39" x14ac:dyDescent="0.25">
      <c r="AB660" s="258" t="str">
        <f t="shared" si="20"/>
        <v/>
      </c>
      <c r="AC660" s="259" t="str">
        <f>IF(COUNTIF(AD$78:AD660,AD660)=1,MAX(AC$78:AC659)+1,"")</f>
        <v/>
      </c>
      <c r="AD660" s="220">
        <f>'[2]Изложницы без бурта'!B660</f>
        <v>225</v>
      </c>
      <c r="AE660" s="220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626</v>
      </c>
      <c r="AM660" s="56">
        <f>'[2]Изложницы без бурта'!K660</f>
        <v>0</v>
      </c>
    </row>
    <row r="661" spans="28:39" x14ac:dyDescent="0.25">
      <c r="AB661" s="258" t="str">
        <f t="shared" si="20"/>
        <v/>
      </c>
      <c r="AC661" s="259">
        <f>IF(COUNTIF(AD$78:AD661,AD661)=1,MAX(AC$78:AC660)+1,"")</f>
        <v>56</v>
      </c>
      <c r="AD661" s="220">
        <f>'[2]Изложницы без бурта'!B661</f>
        <v>227.5</v>
      </c>
      <c r="AE661" s="220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627</v>
      </c>
      <c r="AM661" s="56">
        <f>'[2]Изложницы без бурта'!K661</f>
        <v>0</v>
      </c>
    </row>
    <row r="662" spans="28:39" x14ac:dyDescent="0.25">
      <c r="AB662" s="258" t="str">
        <f t="shared" si="20"/>
        <v/>
      </c>
      <c r="AC662" s="259" t="str">
        <f>IF(COUNTIF(AD$78:AD662,AD662)=1,MAX(AC$78:AC661)+1,"")</f>
        <v/>
      </c>
      <c r="AD662" s="220">
        <f>'[2]Изложницы без бурта'!B662</f>
        <v>227.5</v>
      </c>
      <c r="AE662" s="220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627</v>
      </c>
      <c r="AM662" s="56">
        <f>'[2]Изложницы без бурта'!K662</f>
        <v>0</v>
      </c>
    </row>
    <row r="663" spans="28:39" x14ac:dyDescent="0.25">
      <c r="AB663" s="258" t="str">
        <f t="shared" si="20"/>
        <v/>
      </c>
      <c r="AC663" s="259" t="str">
        <f>IF(COUNTIF(AD$78:AD663,AD663)=1,MAX(AC$78:AC662)+1,"")</f>
        <v/>
      </c>
      <c r="AD663" s="220">
        <f>'[2]Изложницы без бурта'!B663</f>
        <v>227.5</v>
      </c>
      <c r="AE663" s="220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627</v>
      </c>
      <c r="AM663" s="56">
        <f>'[2]Изложницы без бурта'!K663</f>
        <v>0</v>
      </c>
    </row>
    <row r="664" spans="28:39" x14ac:dyDescent="0.25">
      <c r="AB664" s="258" t="str">
        <f t="shared" si="20"/>
        <v/>
      </c>
      <c r="AC664" s="259" t="str">
        <f>IF(COUNTIF(AD$78:AD664,AD664)=1,MAX(AC$78:AC663)+1,"")</f>
        <v/>
      </c>
      <c r="AD664" s="220">
        <f>'[2]Изложницы без бурта'!B664</f>
        <v>227.5</v>
      </c>
      <c r="AE664" s="220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627</v>
      </c>
      <c r="AM664" s="56">
        <f>'[2]Изложницы без бурта'!K664</f>
        <v>0</v>
      </c>
    </row>
    <row r="665" spans="28:39" x14ac:dyDescent="0.25">
      <c r="AB665" s="258" t="str">
        <f t="shared" si="20"/>
        <v/>
      </c>
      <c r="AC665" s="259" t="str">
        <f>IF(COUNTIF(AD$78:AD665,AD665)=1,MAX(AC$78:AC664)+1,"")</f>
        <v/>
      </c>
      <c r="AD665" s="220">
        <f>'[2]Изложницы без бурта'!B665</f>
        <v>227.5</v>
      </c>
      <c r="AE665" s="220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627</v>
      </c>
      <c r="AM665" s="56">
        <f>'[2]Изложницы без бурта'!K665</f>
        <v>0</v>
      </c>
    </row>
    <row r="666" spans="28:39" x14ac:dyDescent="0.25">
      <c r="AB666" s="258" t="str">
        <f t="shared" si="20"/>
        <v/>
      </c>
      <c r="AC666" s="259" t="str">
        <f>IF(COUNTIF(AD$78:AD666,AD666)=1,MAX(AC$78:AC665)+1,"")</f>
        <v/>
      </c>
      <c r="AD666" s="220">
        <f>'[2]Изложницы без бурта'!B666</f>
        <v>227.5</v>
      </c>
      <c r="AE666" s="220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627</v>
      </c>
      <c r="AM666" s="56">
        <f>'[2]Изложницы без бурта'!K666</f>
        <v>0</v>
      </c>
    </row>
    <row r="667" spans="28:39" x14ac:dyDescent="0.25">
      <c r="AB667" s="258" t="str">
        <f t="shared" si="20"/>
        <v/>
      </c>
      <c r="AC667" s="259" t="str">
        <f>IF(COUNTIF(AD$78:AD667,AD667)=1,MAX(AC$78:AC666)+1,"")</f>
        <v/>
      </c>
      <c r="AD667" s="220">
        <f>'[2]Изложницы без бурта'!B667</f>
        <v>227.5</v>
      </c>
      <c r="AE667" s="220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627</v>
      </c>
      <c r="AM667" s="56">
        <f>'[2]Изложницы без бурта'!K667</f>
        <v>0</v>
      </c>
    </row>
    <row r="668" spans="28:39" x14ac:dyDescent="0.25">
      <c r="AB668" s="258" t="str">
        <f t="shared" si="20"/>
        <v/>
      </c>
      <c r="AC668" s="259" t="str">
        <f>IF(COUNTIF(AD$78:AD668,AD668)=1,MAX(AC$78:AC667)+1,"")</f>
        <v/>
      </c>
      <c r="AD668" s="220">
        <f>'[2]Изложницы без бурта'!B668</f>
        <v>227.5</v>
      </c>
      <c r="AE668" s="220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627</v>
      </c>
      <c r="AM668" s="56">
        <f>'[2]Изложницы без бурта'!K668</f>
        <v>0</v>
      </c>
    </row>
    <row r="669" spans="28:39" x14ac:dyDescent="0.25">
      <c r="AB669" s="258" t="str">
        <f t="shared" si="20"/>
        <v/>
      </c>
      <c r="AC669" s="259">
        <f>IF(COUNTIF(AD$78:AD669,AD669)=1,MAX(AC$78:AC668)+1,"")</f>
        <v>57</v>
      </c>
      <c r="AD669" s="220">
        <f>'[2]Изложницы без бурта'!B669</f>
        <v>230</v>
      </c>
      <c r="AE669" s="220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628</v>
      </c>
      <c r="AM669" s="56">
        <f>'[2]Изложницы без бурта'!K669</f>
        <v>0</v>
      </c>
    </row>
    <row r="670" spans="28:39" x14ac:dyDescent="0.25">
      <c r="AB670" s="258" t="str">
        <f t="shared" si="20"/>
        <v/>
      </c>
      <c r="AC670" s="259" t="str">
        <f>IF(COUNTIF(AD$78:AD670,AD670)=1,MAX(AC$78:AC669)+1,"")</f>
        <v/>
      </c>
      <c r="AD670" s="220">
        <f>'[2]Изложницы без бурта'!B670</f>
        <v>230</v>
      </c>
      <c r="AE670" s="220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628</v>
      </c>
      <c r="AM670" s="56">
        <f>'[2]Изложницы без бурта'!K670</f>
        <v>0</v>
      </c>
    </row>
    <row r="671" spans="28:39" x14ac:dyDescent="0.25">
      <c r="AB671" s="258" t="str">
        <f t="shared" si="20"/>
        <v/>
      </c>
      <c r="AC671" s="259" t="str">
        <f>IF(COUNTIF(AD$78:AD671,AD671)=1,MAX(AC$78:AC670)+1,"")</f>
        <v/>
      </c>
      <c r="AD671" s="220">
        <f>'[2]Изложницы без бурта'!B671</f>
        <v>230</v>
      </c>
      <c r="AE671" s="220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628</v>
      </c>
      <c r="AM671" s="56">
        <f>'[2]Изложницы без бурта'!K671</f>
        <v>0</v>
      </c>
    </row>
    <row r="672" spans="28:39" x14ac:dyDescent="0.25">
      <c r="AB672" s="258" t="str">
        <f t="shared" si="20"/>
        <v/>
      </c>
      <c r="AC672" s="259" t="str">
        <f>IF(COUNTIF(AD$78:AD672,AD672)=1,MAX(AC$78:AC671)+1,"")</f>
        <v/>
      </c>
      <c r="AD672" s="220">
        <f>'[2]Изложницы без бурта'!B672</f>
        <v>230</v>
      </c>
      <c r="AE672" s="220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628</v>
      </c>
      <c r="AM672" s="56">
        <f>'[2]Изложницы без бурта'!K672</f>
        <v>0</v>
      </c>
    </row>
    <row r="673" spans="28:39" x14ac:dyDescent="0.25">
      <c r="AB673" s="258" t="str">
        <f t="shared" si="20"/>
        <v/>
      </c>
      <c r="AC673" s="259" t="str">
        <f>IF(COUNTIF(AD$78:AD673,AD673)=1,MAX(AC$78:AC672)+1,"")</f>
        <v/>
      </c>
      <c r="AD673" s="220">
        <f>'[2]Изложницы без бурта'!B673</f>
        <v>230</v>
      </c>
      <c r="AE673" s="220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628</v>
      </c>
      <c r="AM673" s="56">
        <f>'[2]Изложницы без бурта'!K673</f>
        <v>0</v>
      </c>
    </row>
    <row r="674" spans="28:39" x14ac:dyDescent="0.25">
      <c r="AB674" s="258" t="str">
        <f t="shared" si="20"/>
        <v/>
      </c>
      <c r="AC674" s="259" t="str">
        <f>IF(COUNTIF(AD$78:AD674,AD674)=1,MAX(AC$78:AC673)+1,"")</f>
        <v/>
      </c>
      <c r="AD674" s="220">
        <f>'[2]Изложницы без бурта'!B674</f>
        <v>230</v>
      </c>
      <c r="AE674" s="220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628</v>
      </c>
      <c r="AM674" s="56">
        <f>'[2]Изложницы без бурта'!K674</f>
        <v>0</v>
      </c>
    </row>
    <row r="675" spans="28:39" x14ac:dyDescent="0.25">
      <c r="AB675" s="258" t="str">
        <f t="shared" si="20"/>
        <v/>
      </c>
      <c r="AC675" s="259" t="str">
        <f>IF(COUNTIF(AD$78:AD675,AD675)=1,MAX(AC$78:AC674)+1,"")</f>
        <v/>
      </c>
      <c r="AD675" s="220">
        <f>'[2]Изложницы без бурта'!B675</f>
        <v>230</v>
      </c>
      <c r="AE675" s="220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628</v>
      </c>
      <c r="AM675" s="56">
        <f>'[2]Изложницы без бурта'!K675</f>
        <v>0</v>
      </c>
    </row>
    <row r="676" spans="28:39" x14ac:dyDescent="0.25">
      <c r="AB676" s="258" t="str">
        <f t="shared" si="20"/>
        <v/>
      </c>
      <c r="AC676" s="259" t="str">
        <f>IF(COUNTIF(AD$78:AD676,AD676)=1,MAX(AC$78:AC675)+1,"")</f>
        <v/>
      </c>
      <c r="AD676" s="220">
        <f>'[2]Изложницы без бурта'!B676</f>
        <v>230</v>
      </c>
      <c r="AE676" s="220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628</v>
      </c>
      <c r="AM676" s="56">
        <f>'[2]Изложницы без бурта'!K676</f>
        <v>0</v>
      </c>
    </row>
    <row r="677" spans="28:39" x14ac:dyDescent="0.25">
      <c r="AB677" s="258" t="str">
        <f t="shared" si="20"/>
        <v/>
      </c>
      <c r="AC677" s="259" t="str">
        <f>IF(COUNTIF(AD$78:AD677,AD677)=1,MAX(AC$78:AC676)+1,"")</f>
        <v/>
      </c>
      <c r="AD677" s="220">
        <f>'[2]Изложницы без бурта'!B677</f>
        <v>230</v>
      </c>
      <c r="AE677" s="220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628</v>
      </c>
      <c r="AM677" s="56">
        <f>'[2]Изложницы без бурта'!K677</f>
        <v>0</v>
      </c>
    </row>
    <row r="678" spans="28:39" x14ac:dyDescent="0.25">
      <c r="AB678" s="258" t="str">
        <f t="shared" si="20"/>
        <v/>
      </c>
      <c r="AC678" s="259" t="str">
        <f>IF(COUNTIF(AD$78:AD678,AD678)=1,MAX(AC$78:AC677)+1,"")</f>
        <v/>
      </c>
      <c r="AD678" s="220">
        <f>'[2]Изложницы без бурта'!B678</f>
        <v>230</v>
      </c>
      <c r="AE678" s="220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628</v>
      </c>
      <c r="AM678" s="56">
        <f>'[2]Изложницы без бурта'!K678</f>
        <v>0</v>
      </c>
    </row>
    <row r="679" spans="28:39" x14ac:dyDescent="0.25">
      <c r="AB679" s="258" t="str">
        <f t="shared" si="20"/>
        <v/>
      </c>
      <c r="AC679" s="259">
        <f>IF(COUNTIF(AD$78:AD679,AD679)=1,MAX(AC$78:AC678)+1,"")</f>
        <v>58</v>
      </c>
      <c r="AD679" s="220">
        <f>'[2]Изложницы без бурта'!B679</f>
        <v>232.5</v>
      </c>
      <c r="AE679" s="220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629</v>
      </c>
      <c r="AM679" s="56">
        <f>'[2]Изложницы без бурта'!K679</f>
        <v>0</v>
      </c>
    </row>
    <row r="680" spans="28:39" x14ac:dyDescent="0.25">
      <c r="AB680" s="258" t="str">
        <f t="shared" si="20"/>
        <v/>
      </c>
      <c r="AC680" s="259" t="str">
        <f>IF(COUNTIF(AD$78:AD680,AD680)=1,MAX(AC$78:AC679)+1,"")</f>
        <v/>
      </c>
      <c r="AD680" s="220">
        <f>'[2]Изложницы без бурта'!B680</f>
        <v>232.5</v>
      </c>
      <c r="AE680" s="220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629</v>
      </c>
      <c r="AM680" s="56">
        <f>'[2]Изложницы без бурта'!K680</f>
        <v>0</v>
      </c>
    </row>
    <row r="681" spans="28:39" x14ac:dyDescent="0.25">
      <c r="AB681" s="258" t="str">
        <f t="shared" si="20"/>
        <v/>
      </c>
      <c r="AC681" s="259" t="str">
        <f>IF(COUNTIF(AD$78:AD681,AD681)=1,MAX(AC$78:AC680)+1,"")</f>
        <v/>
      </c>
      <c r="AD681" s="220">
        <f>'[2]Изложницы без бурта'!B681</f>
        <v>232.5</v>
      </c>
      <c r="AE681" s="220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629</v>
      </c>
      <c r="AM681" s="56">
        <f>'[2]Изложницы без бурта'!K681</f>
        <v>0</v>
      </c>
    </row>
    <row r="682" spans="28:39" x14ac:dyDescent="0.25">
      <c r="AB682" s="258" t="str">
        <f t="shared" si="20"/>
        <v/>
      </c>
      <c r="AC682" s="259" t="str">
        <f>IF(COUNTIF(AD$78:AD682,AD682)=1,MAX(AC$78:AC681)+1,"")</f>
        <v/>
      </c>
      <c r="AD682" s="220">
        <f>'[2]Изложницы без бурта'!B682</f>
        <v>232.5</v>
      </c>
      <c r="AE682" s="220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629</v>
      </c>
      <c r="AM682" s="56">
        <f>'[2]Изложницы без бурта'!K682</f>
        <v>0</v>
      </c>
    </row>
    <row r="683" spans="28:39" x14ac:dyDescent="0.25">
      <c r="AB683" s="258" t="str">
        <f t="shared" si="20"/>
        <v/>
      </c>
      <c r="AC683" s="259" t="str">
        <f>IF(COUNTIF(AD$78:AD683,AD683)=1,MAX(AC$78:AC682)+1,"")</f>
        <v/>
      </c>
      <c r="AD683" s="220">
        <f>'[2]Изложницы без бурта'!B683</f>
        <v>232.5</v>
      </c>
      <c r="AE683" s="220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629</v>
      </c>
      <c r="AM683" s="56">
        <f>'[2]Изложницы без бурта'!K683</f>
        <v>0</v>
      </c>
    </row>
    <row r="684" spans="28:39" x14ac:dyDescent="0.25">
      <c r="AB684" s="258" t="str">
        <f t="shared" si="20"/>
        <v/>
      </c>
      <c r="AC684" s="259" t="str">
        <f>IF(COUNTIF(AD$78:AD684,AD684)=1,MAX(AC$78:AC683)+1,"")</f>
        <v/>
      </c>
      <c r="AD684" s="220">
        <f>'[2]Изложницы без бурта'!B684</f>
        <v>232.5</v>
      </c>
      <c r="AE684" s="220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629</v>
      </c>
      <c r="AM684" s="56">
        <f>'[2]Изложницы без бурта'!K684</f>
        <v>0</v>
      </c>
    </row>
    <row r="685" spans="28:39" x14ac:dyDescent="0.25">
      <c r="AB685" s="258" t="str">
        <f t="shared" si="20"/>
        <v/>
      </c>
      <c r="AC685" s="259" t="str">
        <f>IF(COUNTIF(AD$78:AD685,AD685)=1,MAX(AC$78:AC684)+1,"")</f>
        <v/>
      </c>
      <c r="AD685" s="220">
        <f>'[2]Изложницы без бурта'!B685</f>
        <v>232.5</v>
      </c>
      <c r="AE685" s="220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629</v>
      </c>
      <c r="AM685" s="56">
        <f>'[2]Изложницы без бурта'!K685</f>
        <v>0</v>
      </c>
    </row>
    <row r="686" spans="28:39" x14ac:dyDescent="0.25">
      <c r="AB686" s="258" t="str">
        <f t="shared" si="20"/>
        <v/>
      </c>
      <c r="AC686" s="259" t="str">
        <f>IF(COUNTIF(AD$78:AD686,AD686)=1,MAX(AC$78:AC685)+1,"")</f>
        <v/>
      </c>
      <c r="AD686" s="220">
        <f>'[2]Изложницы без бурта'!B686</f>
        <v>232.5</v>
      </c>
      <c r="AE686" s="220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629</v>
      </c>
      <c r="AM686" s="56">
        <f>'[2]Изложницы без бурта'!K686</f>
        <v>0</v>
      </c>
    </row>
    <row r="687" spans="28:39" x14ac:dyDescent="0.25">
      <c r="AB687" s="258" t="str">
        <f t="shared" si="20"/>
        <v/>
      </c>
      <c r="AC687" s="259" t="str">
        <f>IF(COUNTIF(AD$78:AD687,AD687)=1,MAX(AC$78:AC686)+1,"")</f>
        <v/>
      </c>
      <c r="AD687" s="220">
        <f>'[2]Изложницы без бурта'!B687</f>
        <v>232.5</v>
      </c>
      <c r="AE687" s="220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629</v>
      </c>
      <c r="AM687" s="56">
        <f>'[2]Изложницы без бурта'!K687</f>
        <v>0</v>
      </c>
    </row>
    <row r="688" spans="28:39" x14ac:dyDescent="0.25">
      <c r="AB688" s="258" t="str">
        <f t="shared" si="20"/>
        <v/>
      </c>
      <c r="AC688" s="259" t="str">
        <f>IF(COUNTIF(AD$78:AD688,AD688)=1,MAX(AC$78:AC687)+1,"")</f>
        <v/>
      </c>
      <c r="AD688" s="220">
        <f>'[2]Изложницы без бурта'!B688</f>
        <v>232.5</v>
      </c>
      <c r="AE688" s="220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629</v>
      </c>
      <c r="AM688" s="56">
        <f>'[2]Изложницы без бурта'!K688</f>
        <v>0</v>
      </c>
    </row>
    <row r="689" spans="28:39" x14ac:dyDescent="0.25">
      <c r="AB689" s="258" t="str">
        <f t="shared" si="20"/>
        <v/>
      </c>
      <c r="AC689" s="259" t="str">
        <f>IF(COUNTIF(AD$78:AD689,AD689)=1,MAX(AC$78:AC688)+1,"")</f>
        <v/>
      </c>
      <c r="AD689" s="220">
        <f>'[2]Изложницы без бурта'!B689</f>
        <v>232.5</v>
      </c>
      <c r="AE689" s="220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629</v>
      </c>
      <c r="AM689" s="56">
        <f>'[2]Изложницы без бурта'!K689</f>
        <v>0</v>
      </c>
    </row>
    <row r="690" spans="28:39" x14ac:dyDescent="0.25">
      <c r="AB690" s="258" t="str">
        <f t="shared" si="20"/>
        <v/>
      </c>
      <c r="AC690" s="259" t="str">
        <f>IF(COUNTIF(AD$78:AD690,AD690)=1,MAX(AC$78:AC689)+1,"")</f>
        <v/>
      </c>
      <c r="AD690" s="220">
        <f>'[2]Изложницы без бурта'!B690</f>
        <v>232.5</v>
      </c>
      <c r="AE690" s="220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629</v>
      </c>
      <c r="AM690" s="56">
        <f>'[2]Изложницы без бурта'!K690</f>
        <v>0</v>
      </c>
    </row>
    <row r="691" spans="28:39" x14ac:dyDescent="0.25">
      <c r="AB691" s="258" t="str">
        <f t="shared" si="20"/>
        <v/>
      </c>
      <c r="AC691" s="259" t="str">
        <f>IF(COUNTIF(AD$78:AD691,AD691)=1,MAX(AC$78:AC690)+1,"")</f>
        <v/>
      </c>
      <c r="AD691" s="220">
        <f>'[2]Изложницы без бурта'!B691</f>
        <v>232.5</v>
      </c>
      <c r="AE691" s="220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629</v>
      </c>
      <c r="AM691" s="56">
        <f>'[2]Изложницы без бурта'!K691</f>
        <v>0</v>
      </c>
    </row>
    <row r="692" spans="28:39" x14ac:dyDescent="0.25">
      <c r="AB692" s="258" t="str">
        <f t="shared" si="20"/>
        <v/>
      </c>
      <c r="AC692" s="259" t="str">
        <f>IF(COUNTIF(AD$78:AD692,AD692)=1,MAX(AC$78:AC691)+1,"")</f>
        <v/>
      </c>
      <c r="AD692" s="220">
        <f>'[2]Изложницы без бурта'!B692</f>
        <v>232.5</v>
      </c>
      <c r="AE692" s="220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629</v>
      </c>
      <c r="AM692" s="56">
        <f>'[2]Изложницы без бурта'!K692</f>
        <v>0</v>
      </c>
    </row>
    <row r="693" spans="28:39" x14ac:dyDescent="0.25">
      <c r="AB693" s="258" t="str">
        <f t="shared" si="20"/>
        <v/>
      </c>
      <c r="AC693" s="259" t="str">
        <f>IF(COUNTIF(AD$78:AD693,AD693)=1,MAX(AC$78:AC692)+1,"")</f>
        <v/>
      </c>
      <c r="AD693" s="220">
        <f>'[2]Изложницы без бурта'!B693</f>
        <v>232.5</v>
      </c>
      <c r="AE693" s="220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629</v>
      </c>
      <c r="AM693" s="56">
        <f>'[2]Изложницы без бурта'!K693</f>
        <v>0</v>
      </c>
    </row>
    <row r="694" spans="28:39" x14ac:dyDescent="0.25">
      <c r="AB694" s="258" t="str">
        <f t="shared" si="20"/>
        <v/>
      </c>
      <c r="AC694" s="259" t="str">
        <f>IF(COUNTIF(AD$78:AD694,AD694)=1,MAX(AC$78:AC693)+1,"")</f>
        <v/>
      </c>
      <c r="AD694" s="220">
        <f>'[2]Изложницы без бурта'!B694</f>
        <v>232.5</v>
      </c>
      <c r="AE694" s="220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629</v>
      </c>
      <c r="AM694" s="56">
        <f>'[2]Изложницы без бурта'!K694</f>
        <v>0</v>
      </c>
    </row>
    <row r="695" spans="28:39" x14ac:dyDescent="0.25">
      <c r="AB695" s="258" t="str">
        <f t="shared" si="20"/>
        <v/>
      </c>
      <c r="AC695" s="259" t="str">
        <f>IF(COUNTIF(AD$78:AD695,AD695)=1,MAX(AC$78:AC694)+1,"")</f>
        <v/>
      </c>
      <c r="AD695" s="220">
        <f>'[2]Изложницы без бурта'!B695</f>
        <v>232.5</v>
      </c>
      <c r="AE695" s="220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629</v>
      </c>
      <c r="AM695" s="56">
        <f>'[2]Изложницы без бурта'!K695</f>
        <v>0</v>
      </c>
    </row>
    <row r="696" spans="28:39" x14ac:dyDescent="0.25">
      <c r="AB696" s="258" t="str">
        <f t="shared" si="20"/>
        <v/>
      </c>
      <c r="AC696" s="259" t="str">
        <f>IF(COUNTIF(AD$78:AD696,AD696)=1,MAX(AC$78:AC695)+1,"")</f>
        <v/>
      </c>
      <c r="AD696" s="220">
        <f>'[2]Изложницы без бурта'!B696</f>
        <v>232.5</v>
      </c>
      <c r="AE696" s="220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629</v>
      </c>
      <c r="AM696" s="56">
        <f>'[2]Изложницы без бурта'!K696</f>
        <v>0</v>
      </c>
    </row>
    <row r="697" spans="28:39" x14ac:dyDescent="0.25">
      <c r="AB697" s="258" t="str">
        <f t="shared" ref="AB697:AB760" si="21">IF(MAX(AC697:AC1774)&lt;ROW(619:619),"",VLOOKUP(ROW(619:619),AC697:AD1774,2))</f>
        <v/>
      </c>
      <c r="AC697" s="259" t="str">
        <f>IF(COUNTIF(AD$78:AD697,AD697)=1,MAX(AC$78:AC696)+1,"")</f>
        <v/>
      </c>
      <c r="AD697" s="220">
        <f>'[2]Изложницы без бурта'!B697</f>
        <v>232.5</v>
      </c>
      <c r="AE697" s="220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629</v>
      </c>
      <c r="AM697" s="56">
        <f>'[2]Изложницы без бурта'!K697</f>
        <v>0</v>
      </c>
    </row>
    <row r="698" spans="28:39" x14ac:dyDescent="0.25">
      <c r="AB698" s="258" t="str">
        <f t="shared" si="21"/>
        <v/>
      </c>
      <c r="AC698" s="259" t="str">
        <f>IF(COUNTIF(AD$78:AD698,AD698)=1,MAX(AC$78:AC697)+1,"")</f>
        <v/>
      </c>
      <c r="AD698" s="220">
        <f>'[2]Изложницы без бурта'!B698</f>
        <v>232.5</v>
      </c>
      <c r="AE698" s="220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629</v>
      </c>
      <c r="AM698" s="56">
        <f>'[2]Изложницы без бурта'!K698</f>
        <v>0</v>
      </c>
    </row>
    <row r="699" spans="28:39" x14ac:dyDescent="0.25">
      <c r="AB699" s="258" t="str">
        <f t="shared" si="21"/>
        <v/>
      </c>
      <c r="AC699" s="259">
        <f>IF(COUNTIF(AD$78:AD699,AD699)=1,MAX(AC$78:AC698)+1,"")</f>
        <v>59</v>
      </c>
      <c r="AD699" s="220">
        <f>'[2]Изложницы без бурта'!B699</f>
        <v>235</v>
      </c>
      <c r="AE699" s="220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630</v>
      </c>
      <c r="AM699" s="56">
        <f>'[2]Изложницы без бурта'!K699</f>
        <v>0</v>
      </c>
    </row>
    <row r="700" spans="28:39" x14ac:dyDescent="0.25">
      <c r="AB700" s="258" t="str">
        <f t="shared" si="21"/>
        <v/>
      </c>
      <c r="AC700" s="259" t="str">
        <f>IF(COUNTIF(AD$78:AD700,AD700)=1,MAX(AC$78:AC699)+1,"")</f>
        <v/>
      </c>
      <c r="AD700" s="220">
        <f>'[2]Изложницы без бурта'!B700</f>
        <v>235</v>
      </c>
      <c r="AE700" s="220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630</v>
      </c>
      <c r="AM700" s="56">
        <f>'[2]Изложницы без бурта'!K700</f>
        <v>0</v>
      </c>
    </row>
    <row r="701" spans="28:39" x14ac:dyDescent="0.25">
      <c r="AB701" s="258" t="str">
        <f t="shared" si="21"/>
        <v/>
      </c>
      <c r="AC701" s="259" t="str">
        <f>IF(COUNTIF(AD$78:AD701,AD701)=1,MAX(AC$78:AC700)+1,"")</f>
        <v/>
      </c>
      <c r="AD701" s="220">
        <f>'[2]Изложницы без бурта'!B701</f>
        <v>235</v>
      </c>
      <c r="AE701" s="220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630</v>
      </c>
      <c r="AM701" s="56">
        <f>'[2]Изложницы без бурта'!K701</f>
        <v>0</v>
      </c>
    </row>
    <row r="702" spans="28:39" x14ac:dyDescent="0.25">
      <c r="AB702" s="258" t="str">
        <f t="shared" si="21"/>
        <v/>
      </c>
      <c r="AC702" s="259" t="str">
        <f>IF(COUNTIF(AD$78:AD702,AD702)=1,MAX(AC$78:AC701)+1,"")</f>
        <v/>
      </c>
      <c r="AD702" s="220">
        <f>'[2]Изложницы без бурта'!B702</f>
        <v>235</v>
      </c>
      <c r="AE702" s="220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630</v>
      </c>
      <c r="AM702" s="56">
        <f>'[2]Изложницы без бурта'!K702</f>
        <v>0</v>
      </c>
    </row>
    <row r="703" spans="28:39" x14ac:dyDescent="0.25">
      <c r="AB703" s="258" t="str">
        <f t="shared" si="21"/>
        <v/>
      </c>
      <c r="AC703" s="259" t="str">
        <f>IF(COUNTIF(AD$78:AD703,AD703)=1,MAX(AC$78:AC702)+1,"")</f>
        <v/>
      </c>
      <c r="AD703" s="220">
        <f>'[2]Изложницы без бурта'!B703</f>
        <v>235</v>
      </c>
      <c r="AE703" s="220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630</v>
      </c>
      <c r="AM703" s="56">
        <f>'[2]Изложницы без бурта'!K703</f>
        <v>0</v>
      </c>
    </row>
    <row r="704" spans="28:39" x14ac:dyDescent="0.25">
      <c r="AB704" s="258" t="str">
        <f t="shared" si="21"/>
        <v/>
      </c>
      <c r="AC704" s="259" t="str">
        <f>IF(COUNTIF(AD$78:AD704,AD704)=1,MAX(AC$78:AC703)+1,"")</f>
        <v/>
      </c>
      <c r="AD704" s="220">
        <f>'[2]Изложницы без бурта'!B704</f>
        <v>235</v>
      </c>
      <c r="AE704" s="220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630</v>
      </c>
      <c r="AM704" s="56">
        <f>'[2]Изложницы без бурта'!K704</f>
        <v>0</v>
      </c>
    </row>
    <row r="705" spans="28:39" x14ac:dyDescent="0.25">
      <c r="AB705" s="258" t="str">
        <f t="shared" si="21"/>
        <v/>
      </c>
      <c r="AC705" s="259" t="str">
        <f>IF(COUNTIF(AD$78:AD705,AD705)=1,MAX(AC$78:AC704)+1,"")</f>
        <v/>
      </c>
      <c r="AD705" s="220">
        <f>'[2]Изложницы без бурта'!B705</f>
        <v>235</v>
      </c>
      <c r="AE705" s="220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630</v>
      </c>
      <c r="AM705" s="56">
        <f>'[2]Изложницы без бурта'!K705</f>
        <v>0</v>
      </c>
    </row>
    <row r="706" spans="28:39" x14ac:dyDescent="0.25">
      <c r="AB706" s="258" t="str">
        <f t="shared" si="21"/>
        <v/>
      </c>
      <c r="AC706" s="259">
        <f>IF(COUNTIF(AD$78:AD706,AD706)=1,MAX(AC$78:AC705)+1,"")</f>
        <v>60</v>
      </c>
      <c r="AD706" s="220">
        <f>'[2]Изложницы без бурта'!B706</f>
        <v>237.5</v>
      </c>
      <c r="AE706" s="220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631</v>
      </c>
      <c r="AM706" s="56">
        <f>'[2]Изложницы без бурта'!K706</f>
        <v>0</v>
      </c>
    </row>
    <row r="707" spans="28:39" x14ac:dyDescent="0.25">
      <c r="AB707" s="258" t="str">
        <f t="shared" si="21"/>
        <v/>
      </c>
      <c r="AC707" s="259" t="str">
        <f>IF(COUNTIF(AD$78:AD707,AD707)=1,MAX(AC$78:AC706)+1,"")</f>
        <v/>
      </c>
      <c r="AD707" s="220">
        <f>'[2]Изложницы без бурта'!B707</f>
        <v>237.5</v>
      </c>
      <c r="AE707" s="220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631</v>
      </c>
      <c r="AM707" s="56">
        <f>'[2]Изложницы без бурта'!K707</f>
        <v>0</v>
      </c>
    </row>
    <row r="708" spans="28:39" x14ac:dyDescent="0.25">
      <c r="AB708" s="258" t="str">
        <f t="shared" si="21"/>
        <v/>
      </c>
      <c r="AC708" s="259" t="str">
        <f>IF(COUNTIF(AD$78:AD708,AD708)=1,MAX(AC$78:AC707)+1,"")</f>
        <v/>
      </c>
      <c r="AD708" s="220">
        <f>'[2]Изложницы без бурта'!B708</f>
        <v>237.5</v>
      </c>
      <c r="AE708" s="220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631</v>
      </c>
      <c r="AM708" s="56">
        <f>'[2]Изложницы без бурта'!K708</f>
        <v>0</v>
      </c>
    </row>
    <row r="709" spans="28:39" x14ac:dyDescent="0.25">
      <c r="AB709" s="258" t="str">
        <f t="shared" si="21"/>
        <v/>
      </c>
      <c r="AC709" s="259" t="str">
        <f>IF(COUNTIF(AD$78:AD709,AD709)=1,MAX(AC$78:AC708)+1,"")</f>
        <v/>
      </c>
      <c r="AD709" s="220">
        <f>'[2]Изложницы без бурта'!B709</f>
        <v>237.5</v>
      </c>
      <c r="AE709" s="220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631</v>
      </c>
      <c r="AM709" s="56">
        <f>'[2]Изложницы без бурта'!K709</f>
        <v>0</v>
      </c>
    </row>
    <row r="710" spans="28:39" x14ac:dyDescent="0.25">
      <c r="AB710" s="258" t="str">
        <f t="shared" si="21"/>
        <v/>
      </c>
      <c r="AC710" s="259" t="str">
        <f>IF(COUNTIF(AD$78:AD710,AD710)=1,MAX(AC$78:AC709)+1,"")</f>
        <v/>
      </c>
      <c r="AD710" s="220">
        <f>'[2]Изложницы без бурта'!B710</f>
        <v>237.5</v>
      </c>
      <c r="AE710" s="220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631</v>
      </c>
      <c r="AM710" s="56">
        <f>'[2]Изложницы без бурта'!K710</f>
        <v>0</v>
      </c>
    </row>
    <row r="711" spans="28:39" x14ac:dyDescent="0.25">
      <c r="AB711" s="258" t="str">
        <f t="shared" si="21"/>
        <v/>
      </c>
      <c r="AC711" s="259" t="str">
        <f>IF(COUNTIF(AD$78:AD711,AD711)=1,MAX(AC$78:AC710)+1,"")</f>
        <v/>
      </c>
      <c r="AD711" s="220">
        <f>'[2]Изложницы без бурта'!B711</f>
        <v>237.5</v>
      </c>
      <c r="AE711" s="220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631</v>
      </c>
      <c r="AM711" s="56">
        <f>'[2]Изложницы без бурта'!K711</f>
        <v>0</v>
      </c>
    </row>
    <row r="712" spans="28:39" x14ac:dyDescent="0.25">
      <c r="AB712" s="258" t="str">
        <f t="shared" si="21"/>
        <v/>
      </c>
      <c r="AC712" s="259">
        <f>IF(COUNTIF(AD$78:AD712,AD712)=1,MAX(AC$78:AC711)+1,"")</f>
        <v>61</v>
      </c>
      <c r="AD712" s="220">
        <f>'[2]Изложницы без бурта'!B712</f>
        <v>240</v>
      </c>
      <c r="AE712" s="220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632</v>
      </c>
      <c r="AM712" s="56">
        <f>'[2]Изложницы без бурта'!K712</f>
        <v>0</v>
      </c>
    </row>
    <row r="713" spans="28:39" x14ac:dyDescent="0.25">
      <c r="AB713" s="258" t="str">
        <f t="shared" si="21"/>
        <v/>
      </c>
      <c r="AC713" s="259" t="str">
        <f>IF(COUNTIF(AD$78:AD713,AD713)=1,MAX(AC$78:AC712)+1,"")</f>
        <v/>
      </c>
      <c r="AD713" s="220">
        <f>'[2]Изложницы без бурта'!B713</f>
        <v>240</v>
      </c>
      <c r="AE713" s="220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632</v>
      </c>
      <c r="AM713" s="56">
        <f>'[2]Изложницы без бурта'!K713</f>
        <v>0</v>
      </c>
    </row>
    <row r="714" spans="28:39" x14ac:dyDescent="0.25">
      <c r="AB714" s="258" t="str">
        <f t="shared" si="21"/>
        <v/>
      </c>
      <c r="AC714" s="259" t="str">
        <f>IF(COUNTIF(AD$78:AD714,AD714)=1,MAX(AC$78:AC713)+1,"")</f>
        <v/>
      </c>
      <c r="AD714" s="220">
        <f>'[2]Изложницы без бурта'!B714</f>
        <v>240</v>
      </c>
      <c r="AE714" s="220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632</v>
      </c>
      <c r="AM714" s="56">
        <f>'[2]Изложницы без бурта'!K714</f>
        <v>0</v>
      </c>
    </row>
    <row r="715" spans="28:39" x14ac:dyDescent="0.25">
      <c r="AB715" s="258" t="str">
        <f t="shared" si="21"/>
        <v/>
      </c>
      <c r="AC715" s="259" t="str">
        <f>IF(COUNTIF(AD$78:AD715,AD715)=1,MAX(AC$78:AC714)+1,"")</f>
        <v/>
      </c>
      <c r="AD715" s="220">
        <f>'[2]Изложницы без бурта'!B715</f>
        <v>240</v>
      </c>
      <c r="AE715" s="220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632</v>
      </c>
      <c r="AM715" s="56">
        <f>'[2]Изложницы без бурта'!K715</f>
        <v>0</v>
      </c>
    </row>
    <row r="716" spans="28:39" x14ac:dyDescent="0.25">
      <c r="AB716" s="258" t="str">
        <f t="shared" si="21"/>
        <v/>
      </c>
      <c r="AC716" s="259" t="str">
        <f>IF(COUNTIF(AD$78:AD716,AD716)=1,MAX(AC$78:AC715)+1,"")</f>
        <v/>
      </c>
      <c r="AD716" s="220">
        <f>'[2]Изложницы без бурта'!B716</f>
        <v>240</v>
      </c>
      <c r="AE716" s="220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632</v>
      </c>
      <c r="AM716" s="56">
        <f>'[2]Изложницы без бурта'!K716</f>
        <v>0</v>
      </c>
    </row>
    <row r="717" spans="28:39" x14ac:dyDescent="0.25">
      <c r="AB717" s="258" t="str">
        <f t="shared" si="21"/>
        <v/>
      </c>
      <c r="AC717" s="259" t="str">
        <f>IF(COUNTIF(AD$78:AD717,AD717)=1,MAX(AC$78:AC716)+1,"")</f>
        <v/>
      </c>
      <c r="AD717" s="220">
        <f>'[2]Изложницы без бурта'!B717</f>
        <v>240</v>
      </c>
      <c r="AE717" s="220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632</v>
      </c>
      <c r="AM717" s="56">
        <f>'[2]Изложницы без бурта'!K717</f>
        <v>0</v>
      </c>
    </row>
    <row r="718" spans="28:39" x14ac:dyDescent="0.25">
      <c r="AB718" s="258" t="str">
        <f t="shared" si="21"/>
        <v/>
      </c>
      <c r="AC718" s="259" t="str">
        <f>IF(COUNTIF(AD$78:AD718,AD718)=1,MAX(AC$78:AC717)+1,"")</f>
        <v/>
      </c>
      <c r="AD718" s="220">
        <f>'[2]Изложницы без бурта'!B718</f>
        <v>240</v>
      </c>
      <c r="AE718" s="220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632</v>
      </c>
      <c r="AM718" s="56">
        <f>'[2]Изложницы без бурта'!K718</f>
        <v>0</v>
      </c>
    </row>
    <row r="719" spans="28:39" x14ac:dyDescent="0.25">
      <c r="AB719" s="258" t="str">
        <f t="shared" si="21"/>
        <v/>
      </c>
      <c r="AC719" s="259" t="str">
        <f>IF(COUNTIF(AD$78:AD719,AD719)=1,MAX(AC$78:AC718)+1,"")</f>
        <v/>
      </c>
      <c r="AD719" s="220">
        <f>'[2]Изложницы без бурта'!B719</f>
        <v>240</v>
      </c>
      <c r="AE719" s="220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632</v>
      </c>
      <c r="AM719" s="56">
        <f>'[2]Изложницы без бурта'!K719</f>
        <v>0</v>
      </c>
    </row>
    <row r="720" spans="28:39" x14ac:dyDescent="0.25">
      <c r="AB720" s="258" t="str">
        <f t="shared" si="21"/>
        <v/>
      </c>
      <c r="AC720" s="259" t="str">
        <f>IF(COUNTIF(AD$78:AD720,AD720)=1,MAX(AC$78:AC719)+1,"")</f>
        <v/>
      </c>
      <c r="AD720" s="220">
        <f>'[2]Изложницы без бурта'!B720</f>
        <v>240</v>
      </c>
      <c r="AE720" s="220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632</v>
      </c>
      <c r="AM720" s="56">
        <f>'[2]Изложницы без бурта'!K720</f>
        <v>0</v>
      </c>
    </row>
    <row r="721" spans="28:39" x14ac:dyDescent="0.25">
      <c r="AB721" s="258" t="str">
        <f t="shared" si="21"/>
        <v/>
      </c>
      <c r="AC721" s="259" t="str">
        <f>IF(COUNTIF(AD$78:AD721,AD721)=1,MAX(AC$78:AC720)+1,"")</f>
        <v/>
      </c>
      <c r="AD721" s="220">
        <f>'[2]Изложницы без бурта'!B721</f>
        <v>240</v>
      </c>
      <c r="AE721" s="220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632</v>
      </c>
      <c r="AM721" s="56">
        <f>'[2]Изложницы без бурта'!K721</f>
        <v>0</v>
      </c>
    </row>
    <row r="722" spans="28:39" x14ac:dyDescent="0.25">
      <c r="AB722" s="258" t="str">
        <f t="shared" si="21"/>
        <v/>
      </c>
      <c r="AC722" s="259" t="str">
        <f>IF(COUNTIF(AD$78:AD722,AD722)=1,MAX(AC$78:AC721)+1,"")</f>
        <v/>
      </c>
      <c r="AD722" s="220">
        <f>'[2]Изложницы без бурта'!B722</f>
        <v>240</v>
      </c>
      <c r="AE722" s="220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632</v>
      </c>
      <c r="AM722" s="56">
        <f>'[2]Изложницы без бурта'!K722</f>
        <v>0</v>
      </c>
    </row>
    <row r="723" spans="28:39" x14ac:dyDescent="0.25">
      <c r="AB723" s="258" t="str">
        <f t="shared" si="21"/>
        <v/>
      </c>
      <c r="AC723" s="259">
        <f>IF(COUNTIF(AD$78:AD723,AD723)=1,MAX(AC$78:AC722)+1,"")</f>
        <v>62</v>
      </c>
      <c r="AD723" s="220">
        <f>'[2]Изложницы без бурта'!B723</f>
        <v>242.5</v>
      </c>
      <c r="AE723" s="220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633</v>
      </c>
      <c r="AM723" s="56">
        <f>'[2]Изложницы без бурта'!K723</f>
        <v>0</v>
      </c>
    </row>
    <row r="724" spans="28:39" x14ac:dyDescent="0.25">
      <c r="AB724" s="258" t="str">
        <f t="shared" si="21"/>
        <v/>
      </c>
      <c r="AC724" s="259">
        <f>IF(COUNTIF(AD$78:AD724,AD724)=1,MAX(AC$78:AC723)+1,"")</f>
        <v>63</v>
      </c>
      <c r="AD724" s="220">
        <f>'[2]Изложницы без бурта'!B724</f>
        <v>245</v>
      </c>
      <c r="AE724" s="220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634</v>
      </c>
      <c r="AM724" s="56">
        <f>'[2]Изложницы без бурта'!K724</f>
        <v>0</v>
      </c>
    </row>
    <row r="725" spans="28:39" x14ac:dyDescent="0.25">
      <c r="AB725" s="258" t="str">
        <f t="shared" si="21"/>
        <v/>
      </c>
      <c r="AC725" s="259" t="str">
        <f>IF(COUNTIF(AD$78:AD725,AD725)=1,MAX(AC$78:AC724)+1,"")</f>
        <v/>
      </c>
      <c r="AD725" s="220">
        <f>'[2]Изложницы без бурта'!B725</f>
        <v>245</v>
      </c>
      <c r="AE725" s="220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634</v>
      </c>
      <c r="AM725" s="56">
        <f>'[2]Изложницы без бурта'!K725</f>
        <v>0</v>
      </c>
    </row>
    <row r="726" spans="28:39" x14ac:dyDescent="0.25">
      <c r="AB726" s="258" t="str">
        <f t="shared" si="21"/>
        <v/>
      </c>
      <c r="AC726" s="259" t="str">
        <f>IF(COUNTIF(AD$78:AD726,AD726)=1,MAX(AC$78:AC725)+1,"")</f>
        <v/>
      </c>
      <c r="AD726" s="220">
        <f>'[2]Изложницы без бурта'!B726</f>
        <v>245</v>
      </c>
      <c r="AE726" s="220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634</v>
      </c>
      <c r="AM726" s="56">
        <f>'[2]Изложницы без бурта'!K726</f>
        <v>0</v>
      </c>
    </row>
    <row r="727" spans="28:39" x14ac:dyDescent="0.25">
      <c r="AB727" s="258" t="str">
        <f t="shared" si="21"/>
        <v/>
      </c>
      <c r="AC727" s="259" t="str">
        <f>IF(COUNTIF(AD$78:AD727,AD727)=1,MAX(AC$78:AC726)+1,"")</f>
        <v/>
      </c>
      <c r="AD727" s="220">
        <f>'[2]Изложницы без бурта'!B727</f>
        <v>245</v>
      </c>
      <c r="AE727" s="220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634</v>
      </c>
      <c r="AM727" s="56">
        <f>'[2]Изложницы без бурта'!K727</f>
        <v>0</v>
      </c>
    </row>
    <row r="728" spans="28:39" x14ac:dyDescent="0.25">
      <c r="AB728" s="258" t="str">
        <f t="shared" si="21"/>
        <v/>
      </c>
      <c r="AC728" s="259" t="str">
        <f>IF(COUNTIF(AD$78:AD728,AD728)=1,MAX(AC$78:AC727)+1,"")</f>
        <v/>
      </c>
      <c r="AD728" s="220">
        <f>'[2]Изложницы без бурта'!B728</f>
        <v>245</v>
      </c>
      <c r="AE728" s="220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634</v>
      </c>
      <c r="AM728" s="56">
        <f>'[2]Изложницы без бурта'!K728</f>
        <v>0</v>
      </c>
    </row>
    <row r="729" spans="28:39" x14ac:dyDescent="0.25">
      <c r="AB729" s="258" t="str">
        <f t="shared" si="21"/>
        <v/>
      </c>
      <c r="AC729" s="259" t="str">
        <f>IF(COUNTIF(AD$78:AD729,AD729)=1,MAX(AC$78:AC728)+1,"")</f>
        <v/>
      </c>
      <c r="AD729" s="220">
        <f>'[2]Изложницы без бурта'!B729</f>
        <v>245</v>
      </c>
      <c r="AE729" s="220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634</v>
      </c>
      <c r="AM729" s="56">
        <f>'[2]Изложницы без бурта'!K729</f>
        <v>0</v>
      </c>
    </row>
    <row r="730" spans="28:39" x14ac:dyDescent="0.25">
      <c r="AB730" s="258" t="str">
        <f t="shared" si="21"/>
        <v/>
      </c>
      <c r="AC730" s="259" t="str">
        <f>IF(COUNTIF(AD$78:AD730,AD730)=1,MAX(AC$78:AC729)+1,"")</f>
        <v/>
      </c>
      <c r="AD730" s="220">
        <f>'[2]Изложницы без бурта'!B730</f>
        <v>245</v>
      </c>
      <c r="AE730" s="220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634</v>
      </c>
      <c r="AM730" s="56">
        <f>'[2]Изложницы без бурта'!K730</f>
        <v>0</v>
      </c>
    </row>
    <row r="731" spans="28:39" x14ac:dyDescent="0.25">
      <c r="AB731" s="258" t="str">
        <f t="shared" si="21"/>
        <v/>
      </c>
      <c r="AC731" s="259" t="str">
        <f>IF(COUNTIF(AD$78:AD731,AD731)=1,MAX(AC$78:AC730)+1,"")</f>
        <v/>
      </c>
      <c r="AD731" s="220">
        <f>'[2]Изложницы без бурта'!B731</f>
        <v>245</v>
      </c>
      <c r="AE731" s="220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634</v>
      </c>
      <c r="AM731" s="56">
        <f>'[2]Изложницы без бурта'!K731</f>
        <v>0</v>
      </c>
    </row>
    <row r="732" spans="28:39" x14ac:dyDescent="0.25">
      <c r="AB732" s="258" t="str">
        <f t="shared" si="21"/>
        <v/>
      </c>
      <c r="AC732" s="259" t="str">
        <f>IF(COUNTIF(AD$78:AD732,AD732)=1,MAX(AC$78:AC731)+1,"")</f>
        <v/>
      </c>
      <c r="AD732" s="220">
        <f>'[2]Изложницы без бурта'!B732</f>
        <v>245</v>
      </c>
      <c r="AE732" s="220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634</v>
      </c>
      <c r="AM732" s="56">
        <f>'[2]Изложницы без бурта'!K732</f>
        <v>0</v>
      </c>
    </row>
    <row r="733" spans="28:39" x14ac:dyDescent="0.25">
      <c r="AB733" s="258" t="str">
        <f t="shared" si="21"/>
        <v/>
      </c>
      <c r="AC733" s="259" t="str">
        <f>IF(COUNTIF(AD$78:AD733,AD733)=1,MAX(AC$78:AC732)+1,"")</f>
        <v/>
      </c>
      <c r="AD733" s="220">
        <f>'[2]Изложницы без бурта'!B733</f>
        <v>245</v>
      </c>
      <c r="AE733" s="220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635</v>
      </c>
      <c r="AM733" s="56">
        <f>'[2]Изложницы без бурта'!K733</f>
        <v>0</v>
      </c>
    </row>
    <row r="734" spans="28:39" x14ac:dyDescent="0.25">
      <c r="AB734" s="258" t="str">
        <f t="shared" si="21"/>
        <v/>
      </c>
      <c r="AC734" s="259">
        <f>IF(COUNTIF(AD$78:AD734,AD734)=1,MAX(AC$78:AC733)+1,"")</f>
        <v>64</v>
      </c>
      <c r="AD734" s="220">
        <f>'[2]Изложницы без бурта'!B734</f>
        <v>247.5</v>
      </c>
      <c r="AE734" s="220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636</v>
      </c>
      <c r="AM734" s="56">
        <f>'[2]Изложницы без бурта'!K734</f>
        <v>0</v>
      </c>
    </row>
    <row r="735" spans="28:39" x14ac:dyDescent="0.25">
      <c r="AB735" s="258" t="str">
        <f t="shared" si="21"/>
        <v/>
      </c>
      <c r="AC735" s="259" t="str">
        <f>IF(COUNTIF(AD$78:AD735,AD735)=1,MAX(AC$78:AC734)+1,"")</f>
        <v/>
      </c>
      <c r="AD735" s="220">
        <f>'[2]Изложницы без бурта'!B735</f>
        <v>247.5</v>
      </c>
      <c r="AE735" s="220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636</v>
      </c>
      <c r="AM735" s="56">
        <f>'[2]Изложницы без бурта'!K735</f>
        <v>0</v>
      </c>
    </row>
    <row r="736" spans="28:39" x14ac:dyDescent="0.25">
      <c r="AB736" s="258" t="str">
        <f t="shared" si="21"/>
        <v/>
      </c>
      <c r="AC736" s="259" t="str">
        <f>IF(COUNTIF(AD$78:AD736,AD736)=1,MAX(AC$78:AC735)+1,"")</f>
        <v/>
      </c>
      <c r="AD736" s="220">
        <f>'[2]Изложницы без бурта'!B736</f>
        <v>247.5</v>
      </c>
      <c r="AE736" s="220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636</v>
      </c>
      <c r="AM736" s="56">
        <f>'[2]Изложницы без бурта'!K736</f>
        <v>0</v>
      </c>
    </row>
    <row r="737" spans="28:39" x14ac:dyDescent="0.25">
      <c r="AB737" s="258" t="str">
        <f t="shared" si="21"/>
        <v/>
      </c>
      <c r="AC737" s="259">
        <f>IF(COUNTIF(AD$78:AD737,AD737)=1,MAX(AC$78:AC736)+1,"")</f>
        <v>65</v>
      </c>
      <c r="AD737" s="220">
        <f>'[2]Изложницы без бурта'!B737</f>
        <v>250</v>
      </c>
      <c r="AE737" s="220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637</v>
      </c>
      <c r="AM737" s="56">
        <f>'[2]Изложницы без бурта'!K737</f>
        <v>0</v>
      </c>
    </row>
    <row r="738" spans="28:39" x14ac:dyDescent="0.25">
      <c r="AB738" s="258" t="str">
        <f t="shared" si="21"/>
        <v/>
      </c>
      <c r="AC738" s="259" t="str">
        <f>IF(COUNTIF(AD$78:AD738,AD738)=1,MAX(AC$78:AC737)+1,"")</f>
        <v/>
      </c>
      <c r="AD738" s="220">
        <f>'[2]Изложницы без бурта'!B738</f>
        <v>250</v>
      </c>
      <c r="AE738" s="220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637</v>
      </c>
      <c r="AM738" s="56">
        <f>'[2]Изложницы без бурта'!K738</f>
        <v>0</v>
      </c>
    </row>
    <row r="739" spans="28:39" x14ac:dyDescent="0.25">
      <c r="AB739" s="258" t="str">
        <f t="shared" si="21"/>
        <v/>
      </c>
      <c r="AC739" s="259" t="str">
        <f>IF(COUNTIF(AD$78:AD739,AD739)=1,MAX(AC$78:AC738)+1,"")</f>
        <v/>
      </c>
      <c r="AD739" s="220">
        <f>'[2]Изложницы без бурта'!B739</f>
        <v>250</v>
      </c>
      <c r="AE739" s="220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637</v>
      </c>
      <c r="AM739" s="56">
        <f>'[2]Изложницы без бурта'!K739</f>
        <v>0</v>
      </c>
    </row>
    <row r="740" spans="28:39" x14ac:dyDescent="0.25">
      <c r="AB740" s="258" t="str">
        <f t="shared" si="21"/>
        <v/>
      </c>
      <c r="AC740" s="259" t="str">
        <f>IF(COUNTIF(AD$78:AD740,AD740)=1,MAX(AC$78:AC739)+1,"")</f>
        <v/>
      </c>
      <c r="AD740" s="220">
        <f>'[2]Изложницы без бурта'!B740</f>
        <v>250</v>
      </c>
      <c r="AE740" s="220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637</v>
      </c>
      <c r="AM740" s="56">
        <f>'[2]Изложницы без бурта'!K740</f>
        <v>0</v>
      </c>
    </row>
    <row r="741" spans="28:39" x14ac:dyDescent="0.25">
      <c r="AB741" s="258" t="str">
        <f t="shared" si="21"/>
        <v/>
      </c>
      <c r="AC741" s="259" t="str">
        <f>IF(COUNTIF(AD$78:AD741,AD741)=1,MAX(AC$78:AC740)+1,"")</f>
        <v/>
      </c>
      <c r="AD741" s="220">
        <f>'[2]Изложницы без бурта'!B741</f>
        <v>250</v>
      </c>
      <c r="AE741" s="220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637</v>
      </c>
      <c r="AM741" s="56">
        <f>'[2]Изложницы без бурта'!K741</f>
        <v>0</v>
      </c>
    </row>
    <row r="742" spans="28:39" x14ac:dyDescent="0.25">
      <c r="AB742" s="258" t="str">
        <f t="shared" si="21"/>
        <v/>
      </c>
      <c r="AC742" s="259" t="str">
        <f>IF(COUNTIF(AD$78:AD742,AD742)=1,MAX(AC$78:AC741)+1,"")</f>
        <v/>
      </c>
      <c r="AD742" s="220">
        <f>'[2]Изложницы без бурта'!B742</f>
        <v>250</v>
      </c>
      <c r="AE742" s="220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637</v>
      </c>
      <c r="AM742" s="56">
        <f>'[2]Изложницы без бурта'!K742</f>
        <v>0</v>
      </c>
    </row>
    <row r="743" spans="28:39" x14ac:dyDescent="0.25">
      <c r="AB743" s="258" t="str">
        <f t="shared" si="21"/>
        <v/>
      </c>
      <c r="AC743" s="259" t="str">
        <f>IF(COUNTIF(AD$78:AD743,AD743)=1,MAX(AC$78:AC742)+1,"")</f>
        <v/>
      </c>
      <c r="AD743" s="220">
        <f>'[2]Изложницы без бурта'!B743</f>
        <v>250</v>
      </c>
      <c r="AE743" s="220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637</v>
      </c>
      <c r="AM743" s="56">
        <f>'[2]Изложницы без бурта'!K743</f>
        <v>0</v>
      </c>
    </row>
    <row r="744" spans="28:39" x14ac:dyDescent="0.25">
      <c r="AB744" s="258" t="str">
        <f t="shared" si="21"/>
        <v/>
      </c>
      <c r="AC744" s="259" t="str">
        <f>IF(COUNTIF(AD$78:AD744,AD744)=1,MAX(AC$78:AC743)+1,"")</f>
        <v/>
      </c>
      <c r="AD744" s="220">
        <f>'[2]Изложницы без бурта'!B744</f>
        <v>250</v>
      </c>
      <c r="AE744" s="220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635</v>
      </c>
      <c r="AM744" s="56">
        <f>'[2]Изложницы без бурта'!K744</f>
        <v>0</v>
      </c>
    </row>
    <row r="745" spans="28:39" x14ac:dyDescent="0.25">
      <c r="AB745" s="258" t="str">
        <f t="shared" si="21"/>
        <v/>
      </c>
      <c r="AC745" s="259">
        <f>IF(COUNTIF(AD$78:AD745,AD745)=1,MAX(AC$78:AC744)+1,"")</f>
        <v>66</v>
      </c>
      <c r="AD745" s="220">
        <f>'[2]Изложницы без бурта'!B745</f>
        <v>252.5</v>
      </c>
      <c r="AE745" s="220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638</v>
      </c>
      <c r="AM745" s="56">
        <f>'[2]Изложницы без бурта'!K745</f>
        <v>0</v>
      </c>
    </row>
    <row r="746" spans="28:39" x14ac:dyDescent="0.25">
      <c r="AB746" s="258" t="str">
        <f t="shared" si="21"/>
        <v/>
      </c>
      <c r="AC746" s="259" t="str">
        <f>IF(COUNTIF(AD$78:AD746,AD746)=1,MAX(AC$78:AC745)+1,"")</f>
        <v/>
      </c>
      <c r="AD746" s="220">
        <f>'[2]Изложницы без бурта'!B746</f>
        <v>252.5</v>
      </c>
      <c r="AE746" s="220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638</v>
      </c>
      <c r="AM746" s="56">
        <f>'[2]Изложницы без бурта'!K746</f>
        <v>0</v>
      </c>
    </row>
    <row r="747" spans="28:39" x14ac:dyDescent="0.25">
      <c r="AB747" s="258" t="str">
        <f t="shared" si="21"/>
        <v/>
      </c>
      <c r="AC747" s="259" t="str">
        <f>IF(COUNTIF(AD$78:AD747,AD747)=1,MAX(AC$78:AC746)+1,"")</f>
        <v/>
      </c>
      <c r="AD747" s="220">
        <f>'[2]Изложницы без бурта'!B747</f>
        <v>252.5</v>
      </c>
      <c r="AE747" s="220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638</v>
      </c>
      <c r="AM747" s="56">
        <f>'[2]Изложницы без бурта'!K747</f>
        <v>0</v>
      </c>
    </row>
    <row r="748" spans="28:39" x14ac:dyDescent="0.25">
      <c r="AB748" s="258" t="str">
        <f t="shared" si="21"/>
        <v/>
      </c>
      <c r="AC748" s="259" t="str">
        <f>IF(COUNTIF(AD$78:AD748,AD748)=1,MAX(AC$78:AC747)+1,"")</f>
        <v/>
      </c>
      <c r="AD748" s="220">
        <f>'[2]Изложницы без бурта'!B748</f>
        <v>252.5</v>
      </c>
      <c r="AE748" s="220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638</v>
      </c>
      <c r="AM748" s="56">
        <f>'[2]Изложницы без бурта'!K748</f>
        <v>0</v>
      </c>
    </row>
    <row r="749" spans="28:39" x14ac:dyDescent="0.25">
      <c r="AB749" s="258" t="str">
        <f t="shared" si="21"/>
        <v/>
      </c>
      <c r="AC749" s="259" t="str">
        <f>IF(COUNTIF(AD$78:AD749,AD749)=1,MAX(AC$78:AC748)+1,"")</f>
        <v/>
      </c>
      <c r="AD749" s="220">
        <f>'[2]Изложницы без бурта'!B749</f>
        <v>252.5</v>
      </c>
      <c r="AE749" s="220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638</v>
      </c>
      <c r="AM749" s="56">
        <f>'[2]Изложницы без бурта'!K749</f>
        <v>0</v>
      </c>
    </row>
    <row r="750" spans="28:39" x14ac:dyDescent="0.25">
      <c r="AB750" s="258" t="str">
        <f t="shared" si="21"/>
        <v/>
      </c>
      <c r="AC750" s="259" t="str">
        <f>IF(COUNTIF(AD$78:AD750,AD750)=1,MAX(AC$78:AC749)+1,"")</f>
        <v/>
      </c>
      <c r="AD750" s="220">
        <f>'[2]Изложницы без бурта'!B750</f>
        <v>252.5</v>
      </c>
      <c r="AE750" s="220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638</v>
      </c>
      <c r="AM750" s="56">
        <f>'[2]Изложницы без бурта'!K750</f>
        <v>0</v>
      </c>
    </row>
    <row r="751" spans="28:39" x14ac:dyDescent="0.25">
      <c r="AB751" s="258" t="str">
        <f t="shared" si="21"/>
        <v/>
      </c>
      <c r="AC751" s="259" t="str">
        <f>IF(COUNTIF(AD$78:AD751,AD751)=1,MAX(AC$78:AC750)+1,"")</f>
        <v/>
      </c>
      <c r="AD751" s="220">
        <f>'[2]Изложницы без бурта'!B751</f>
        <v>252.5</v>
      </c>
      <c r="AE751" s="220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638</v>
      </c>
      <c r="AM751" s="56">
        <f>'[2]Изложницы без бурта'!K751</f>
        <v>0</v>
      </c>
    </row>
    <row r="752" spans="28:39" x14ac:dyDescent="0.25">
      <c r="AB752" s="258" t="str">
        <f t="shared" si="21"/>
        <v/>
      </c>
      <c r="AC752" s="259" t="str">
        <f>IF(COUNTIF(AD$78:AD752,AD752)=1,MAX(AC$78:AC751)+1,"")</f>
        <v/>
      </c>
      <c r="AD752" s="220">
        <f>'[2]Изложницы без бурта'!B752</f>
        <v>252.5</v>
      </c>
      <c r="AE752" s="220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638</v>
      </c>
      <c r="AM752" s="56">
        <f>'[2]Изложницы без бурта'!K752</f>
        <v>0</v>
      </c>
    </row>
    <row r="753" spans="28:39" x14ac:dyDescent="0.25">
      <c r="AB753" s="258" t="str">
        <f t="shared" si="21"/>
        <v/>
      </c>
      <c r="AC753" s="259">
        <f>IF(COUNTIF(AD$78:AD753,AD753)=1,MAX(AC$78:AC752)+1,"")</f>
        <v>67</v>
      </c>
      <c r="AD753" s="220">
        <f>'[2]Изложницы без бурта'!B753</f>
        <v>255</v>
      </c>
      <c r="AE753" s="220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639</v>
      </c>
      <c r="AM753" s="56">
        <f>'[2]Изложницы без бурта'!K753</f>
        <v>0</v>
      </c>
    </row>
    <row r="754" spans="28:39" x14ac:dyDescent="0.25">
      <c r="AB754" s="258" t="str">
        <f t="shared" si="21"/>
        <v/>
      </c>
      <c r="AC754" s="259" t="str">
        <f>IF(COUNTIF(AD$78:AD754,AD754)=1,MAX(AC$78:AC753)+1,"")</f>
        <v/>
      </c>
      <c r="AD754" s="220">
        <f>'[2]Изложницы без бурта'!B754</f>
        <v>255</v>
      </c>
      <c r="AE754" s="220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639</v>
      </c>
      <c r="AM754" s="56">
        <f>'[2]Изложницы без бурта'!K754</f>
        <v>0</v>
      </c>
    </row>
    <row r="755" spans="28:39" x14ac:dyDescent="0.25">
      <c r="AB755" s="258" t="str">
        <f t="shared" si="21"/>
        <v/>
      </c>
      <c r="AC755" s="259" t="str">
        <f>IF(COUNTIF(AD$78:AD755,AD755)=1,MAX(AC$78:AC754)+1,"")</f>
        <v/>
      </c>
      <c r="AD755" s="220">
        <f>'[2]Изложницы без бурта'!B755</f>
        <v>255</v>
      </c>
      <c r="AE755" s="220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639</v>
      </c>
      <c r="AM755" s="56">
        <f>'[2]Изложницы без бурта'!K755</f>
        <v>0</v>
      </c>
    </row>
    <row r="756" spans="28:39" x14ac:dyDescent="0.25">
      <c r="AB756" s="258" t="str">
        <f t="shared" si="21"/>
        <v/>
      </c>
      <c r="AC756" s="259" t="str">
        <f>IF(COUNTIF(AD$78:AD756,AD756)=1,MAX(AC$78:AC755)+1,"")</f>
        <v/>
      </c>
      <c r="AD756" s="220">
        <f>'[2]Изложницы без бурта'!B756</f>
        <v>255</v>
      </c>
      <c r="AE756" s="220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639</v>
      </c>
      <c r="AM756" s="56">
        <f>'[2]Изложницы без бурта'!K756</f>
        <v>0</v>
      </c>
    </row>
    <row r="757" spans="28:39" x14ac:dyDescent="0.25">
      <c r="AB757" s="258" t="str">
        <f t="shared" si="21"/>
        <v/>
      </c>
      <c r="AC757" s="259" t="str">
        <f>IF(COUNTIF(AD$78:AD757,AD757)=1,MAX(AC$78:AC756)+1,"")</f>
        <v/>
      </c>
      <c r="AD757" s="220">
        <f>'[2]Изложницы без бурта'!B757</f>
        <v>255</v>
      </c>
      <c r="AE757" s="220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639</v>
      </c>
      <c r="AM757" s="56">
        <f>'[2]Изложницы без бурта'!K757</f>
        <v>0</v>
      </c>
    </row>
    <row r="758" spans="28:39" x14ac:dyDescent="0.25">
      <c r="AB758" s="258" t="str">
        <f t="shared" si="21"/>
        <v/>
      </c>
      <c r="AC758" s="259" t="str">
        <f>IF(COUNTIF(AD$78:AD758,AD758)=1,MAX(AC$78:AC757)+1,"")</f>
        <v/>
      </c>
      <c r="AD758" s="220">
        <f>'[2]Изложницы без бурта'!B758</f>
        <v>255</v>
      </c>
      <c r="AE758" s="220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639</v>
      </c>
      <c r="AM758" s="56">
        <f>'[2]Изложницы без бурта'!K758</f>
        <v>0</v>
      </c>
    </row>
    <row r="759" spans="28:39" x14ac:dyDescent="0.25">
      <c r="AB759" s="258" t="str">
        <f t="shared" si="21"/>
        <v/>
      </c>
      <c r="AC759" s="259" t="str">
        <f>IF(COUNTIF(AD$78:AD759,AD759)=1,MAX(AC$78:AC758)+1,"")</f>
        <v/>
      </c>
      <c r="AD759" s="220">
        <f>'[2]Изложницы без бурта'!B759</f>
        <v>255</v>
      </c>
      <c r="AE759" s="220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639</v>
      </c>
      <c r="AM759" s="56">
        <f>'[2]Изложницы без бурта'!K759</f>
        <v>0</v>
      </c>
    </row>
    <row r="760" spans="28:39" x14ac:dyDescent="0.25">
      <c r="AB760" s="258" t="str">
        <f t="shared" si="21"/>
        <v/>
      </c>
      <c r="AC760" s="259">
        <f>IF(COUNTIF(AD$78:AD760,AD760)=1,MAX(AC$78:AC759)+1,"")</f>
        <v>68</v>
      </c>
      <c r="AD760" s="220">
        <f>'[2]Изложницы без бурта'!B760</f>
        <v>257.5</v>
      </c>
      <c r="AE760" s="220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640</v>
      </c>
      <c r="AM760" s="56">
        <f>'[2]Изложницы без бурта'!K760</f>
        <v>0</v>
      </c>
    </row>
    <row r="761" spans="28:39" x14ac:dyDescent="0.25">
      <c r="AB761" s="258" t="str">
        <f t="shared" ref="AB761:AB824" si="22">IF(MAX(AC761:AC1838)&lt;ROW(683:683),"",VLOOKUP(ROW(683:683),AC761:AD1838,2))</f>
        <v/>
      </c>
      <c r="AC761" s="259" t="str">
        <f>IF(COUNTIF(AD$78:AD761,AD761)=1,MAX(AC$78:AC760)+1,"")</f>
        <v/>
      </c>
      <c r="AD761" s="220">
        <f>'[2]Изложницы без бурта'!B761</f>
        <v>257.5</v>
      </c>
      <c r="AE761" s="220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640</v>
      </c>
      <c r="AM761" s="56">
        <f>'[2]Изложницы без бурта'!K761</f>
        <v>0</v>
      </c>
    </row>
    <row r="762" spans="28:39" x14ac:dyDescent="0.25">
      <c r="AB762" s="258" t="str">
        <f t="shared" si="22"/>
        <v/>
      </c>
      <c r="AC762" s="259" t="str">
        <f>IF(COUNTIF(AD$78:AD762,AD762)=1,MAX(AC$78:AC761)+1,"")</f>
        <v/>
      </c>
      <c r="AD762" s="220">
        <f>'[2]Изложницы без бурта'!B762</f>
        <v>257.5</v>
      </c>
      <c r="AE762" s="220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640</v>
      </c>
      <c r="AM762" s="56">
        <f>'[2]Изложницы без бурта'!K762</f>
        <v>0</v>
      </c>
    </row>
    <row r="763" spans="28:39" x14ac:dyDescent="0.25">
      <c r="AB763" s="258" t="str">
        <f t="shared" si="22"/>
        <v/>
      </c>
      <c r="AC763" s="259" t="str">
        <f>IF(COUNTIF(AD$78:AD763,AD763)=1,MAX(AC$78:AC762)+1,"")</f>
        <v/>
      </c>
      <c r="AD763" s="220">
        <f>'[2]Изложницы без бурта'!B763</f>
        <v>257.5</v>
      </c>
      <c r="AE763" s="220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640</v>
      </c>
      <c r="AM763" s="56">
        <f>'[2]Изложницы без бурта'!K763</f>
        <v>0</v>
      </c>
    </row>
    <row r="764" spans="28:39" x14ac:dyDescent="0.25">
      <c r="AB764" s="258" t="str">
        <f t="shared" si="22"/>
        <v/>
      </c>
      <c r="AC764" s="259">
        <f>IF(COUNTIF(AD$78:AD764,AD764)=1,MAX(AC$78:AC763)+1,"")</f>
        <v>69</v>
      </c>
      <c r="AD764" s="220">
        <f>'[2]Изложницы без бурта'!B764</f>
        <v>260</v>
      </c>
      <c r="AE764" s="220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641</v>
      </c>
      <c r="AM764" s="56">
        <f>'[2]Изложницы без бурта'!K764</f>
        <v>0</v>
      </c>
    </row>
    <row r="765" spans="28:39" x14ac:dyDescent="0.25">
      <c r="AB765" s="258" t="str">
        <f t="shared" si="22"/>
        <v/>
      </c>
      <c r="AC765" s="259" t="str">
        <f>IF(COUNTIF(AD$78:AD765,AD765)=1,MAX(AC$78:AC764)+1,"")</f>
        <v/>
      </c>
      <c r="AD765" s="220">
        <f>'[2]Изложницы без бурта'!B765</f>
        <v>260</v>
      </c>
      <c r="AE765" s="220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641</v>
      </c>
      <c r="AM765" s="56">
        <f>'[2]Изложницы без бурта'!K765</f>
        <v>0</v>
      </c>
    </row>
    <row r="766" spans="28:39" x14ac:dyDescent="0.25">
      <c r="AB766" s="258" t="str">
        <f t="shared" si="22"/>
        <v/>
      </c>
      <c r="AC766" s="259" t="str">
        <f>IF(COUNTIF(AD$78:AD766,AD766)=1,MAX(AC$78:AC765)+1,"")</f>
        <v/>
      </c>
      <c r="AD766" s="220">
        <f>'[2]Изложницы без бурта'!B766</f>
        <v>260</v>
      </c>
      <c r="AE766" s="220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641</v>
      </c>
      <c r="AM766" s="56">
        <f>'[2]Изложницы без бурта'!K766</f>
        <v>0</v>
      </c>
    </row>
    <row r="767" spans="28:39" x14ac:dyDescent="0.25">
      <c r="AB767" s="258" t="str">
        <f t="shared" si="22"/>
        <v/>
      </c>
      <c r="AC767" s="259" t="str">
        <f>IF(COUNTIF(AD$78:AD767,AD767)=1,MAX(AC$78:AC766)+1,"")</f>
        <v/>
      </c>
      <c r="AD767" s="220">
        <f>'[2]Изложницы без бурта'!B767</f>
        <v>260</v>
      </c>
      <c r="AE767" s="220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641</v>
      </c>
      <c r="AM767" s="56">
        <f>'[2]Изложницы без бурта'!K767</f>
        <v>0</v>
      </c>
    </row>
    <row r="768" spans="28:39" x14ac:dyDescent="0.25">
      <c r="AB768" s="258" t="str">
        <f t="shared" si="22"/>
        <v/>
      </c>
      <c r="AC768" s="259" t="str">
        <f>IF(COUNTIF(AD$78:AD768,AD768)=1,MAX(AC$78:AC767)+1,"")</f>
        <v/>
      </c>
      <c r="AD768" s="220">
        <f>'[2]Изложницы без бурта'!B768</f>
        <v>260</v>
      </c>
      <c r="AE768" s="220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641</v>
      </c>
      <c r="AM768" s="56">
        <f>'[2]Изложницы без бурта'!K768</f>
        <v>0</v>
      </c>
    </row>
    <row r="769" spans="28:39" x14ac:dyDescent="0.25">
      <c r="AB769" s="258" t="str">
        <f t="shared" si="22"/>
        <v/>
      </c>
      <c r="AC769" s="259" t="str">
        <f>IF(COUNTIF(AD$78:AD769,AD769)=1,MAX(AC$78:AC768)+1,"")</f>
        <v/>
      </c>
      <c r="AD769" s="220">
        <f>'[2]Изложницы без бурта'!B769</f>
        <v>260</v>
      </c>
      <c r="AE769" s="220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641</v>
      </c>
      <c r="AM769" s="56">
        <f>'[2]Изложницы без бурта'!K769</f>
        <v>0</v>
      </c>
    </row>
    <row r="770" spans="28:39" x14ac:dyDescent="0.25">
      <c r="AB770" s="258" t="str">
        <f t="shared" si="22"/>
        <v/>
      </c>
      <c r="AC770" s="259" t="str">
        <f>IF(COUNTIF(AD$78:AD770,AD770)=1,MAX(AC$78:AC769)+1,"")</f>
        <v/>
      </c>
      <c r="AD770" s="220">
        <f>'[2]Изложницы без бурта'!B770</f>
        <v>260</v>
      </c>
      <c r="AE770" s="220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641</v>
      </c>
      <c r="AM770" s="56">
        <f>'[2]Изложницы без бурта'!K770</f>
        <v>0</v>
      </c>
    </row>
    <row r="771" spans="28:39" x14ac:dyDescent="0.25">
      <c r="AB771" s="258" t="str">
        <f t="shared" si="22"/>
        <v/>
      </c>
      <c r="AC771" s="259" t="str">
        <f>IF(COUNTIF(AD$78:AD771,AD771)=1,MAX(AC$78:AC770)+1,"")</f>
        <v/>
      </c>
      <c r="AD771" s="220">
        <f>'[2]Изложницы без бурта'!B771</f>
        <v>260</v>
      </c>
      <c r="AE771" s="220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641</v>
      </c>
      <c r="AM771" s="56">
        <f>'[2]Изложницы без бурта'!K771</f>
        <v>0</v>
      </c>
    </row>
    <row r="772" spans="28:39" x14ac:dyDescent="0.25">
      <c r="AB772" s="258" t="str">
        <f t="shared" si="22"/>
        <v/>
      </c>
      <c r="AC772" s="259" t="str">
        <f>IF(COUNTIF(AD$78:AD772,AD772)=1,MAX(AC$78:AC771)+1,"")</f>
        <v/>
      </c>
      <c r="AD772" s="220">
        <f>'[2]Изложницы без бурта'!B772</f>
        <v>260</v>
      </c>
      <c r="AE772" s="220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641</v>
      </c>
      <c r="AM772" s="56">
        <f>'[2]Изложницы без бурта'!K772</f>
        <v>0</v>
      </c>
    </row>
    <row r="773" spans="28:39" x14ac:dyDescent="0.25">
      <c r="AB773" s="258" t="str">
        <f t="shared" si="22"/>
        <v/>
      </c>
      <c r="AC773" s="259" t="str">
        <f>IF(COUNTIF(AD$78:AD773,AD773)=1,MAX(AC$78:AC772)+1,"")</f>
        <v/>
      </c>
      <c r="AD773" s="220">
        <f>'[2]Изложницы без бурта'!B773</f>
        <v>260</v>
      </c>
      <c r="AE773" s="220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641</v>
      </c>
      <c r="AM773" s="56">
        <f>'[2]Изложницы без бурта'!K773</f>
        <v>0</v>
      </c>
    </row>
    <row r="774" spans="28:39" x14ac:dyDescent="0.25">
      <c r="AB774" s="258" t="str">
        <f t="shared" si="22"/>
        <v/>
      </c>
      <c r="AC774" s="259" t="str">
        <f>IF(COUNTIF(AD$78:AD774,AD774)=1,MAX(AC$78:AC773)+1,"")</f>
        <v/>
      </c>
      <c r="AD774" s="220">
        <f>'[2]Изложницы без бурта'!B774</f>
        <v>260</v>
      </c>
      <c r="AE774" s="220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641</v>
      </c>
      <c r="AM774" s="56">
        <f>'[2]Изложницы без бурта'!K774</f>
        <v>0</v>
      </c>
    </row>
    <row r="775" spans="28:39" x14ac:dyDescent="0.25">
      <c r="AB775" s="258" t="str">
        <f t="shared" si="22"/>
        <v/>
      </c>
      <c r="AC775" s="259">
        <f>IF(COUNTIF(AD$78:AD775,AD775)=1,MAX(AC$78:AC774)+1,"")</f>
        <v>70</v>
      </c>
      <c r="AD775" s="220">
        <f>'[2]Изложницы без бурта'!B775</f>
        <v>262.5</v>
      </c>
      <c r="AE775" s="220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642</v>
      </c>
      <c r="AM775" s="56">
        <f>'[2]Изложницы без бурта'!K775</f>
        <v>0</v>
      </c>
    </row>
    <row r="776" spans="28:39" x14ac:dyDescent="0.25">
      <c r="AB776" s="258" t="str">
        <f t="shared" si="22"/>
        <v/>
      </c>
      <c r="AC776" s="259" t="str">
        <f>IF(COUNTIF(AD$78:AD776,AD776)=1,MAX(AC$78:AC775)+1,"")</f>
        <v/>
      </c>
      <c r="AD776" s="220">
        <f>'[2]Изложницы без бурта'!B776</f>
        <v>262.5</v>
      </c>
      <c r="AE776" s="220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642</v>
      </c>
      <c r="AM776" s="56">
        <f>'[2]Изложницы без бурта'!K776</f>
        <v>0</v>
      </c>
    </row>
    <row r="777" spans="28:39" x14ac:dyDescent="0.25">
      <c r="AB777" s="258" t="str">
        <f t="shared" si="22"/>
        <v/>
      </c>
      <c r="AC777" s="259" t="str">
        <f>IF(COUNTIF(AD$78:AD777,AD777)=1,MAX(AC$78:AC776)+1,"")</f>
        <v/>
      </c>
      <c r="AD777" s="220">
        <f>'[2]Изложницы без бурта'!B777</f>
        <v>262.5</v>
      </c>
      <c r="AE777" s="220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642</v>
      </c>
      <c r="AM777" s="56">
        <f>'[2]Изложницы без бурта'!K777</f>
        <v>0</v>
      </c>
    </row>
    <row r="778" spans="28:39" x14ac:dyDescent="0.25">
      <c r="AB778" s="258" t="str">
        <f t="shared" si="22"/>
        <v/>
      </c>
      <c r="AC778" s="259" t="str">
        <f>IF(COUNTIF(AD$78:AD778,AD778)=1,MAX(AC$78:AC777)+1,"")</f>
        <v/>
      </c>
      <c r="AD778" s="220">
        <f>'[2]Изложницы без бурта'!B778</f>
        <v>262.5</v>
      </c>
      <c r="AE778" s="220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642</v>
      </c>
      <c r="AM778" s="56">
        <f>'[2]Изложницы без бурта'!K778</f>
        <v>0</v>
      </c>
    </row>
    <row r="779" spans="28:39" x14ac:dyDescent="0.25">
      <c r="AB779" s="258" t="str">
        <f t="shared" si="22"/>
        <v/>
      </c>
      <c r="AC779" s="259">
        <f>IF(COUNTIF(AD$78:AD779,AD779)=1,MAX(AC$78:AC778)+1,"")</f>
        <v>71</v>
      </c>
      <c r="AD779" s="220">
        <f>'[2]Изложницы без бурта'!B779</f>
        <v>265</v>
      </c>
      <c r="AE779" s="220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643</v>
      </c>
      <c r="AM779" s="56">
        <f>'[2]Изложницы без бурта'!K779</f>
        <v>0</v>
      </c>
    </row>
    <row r="780" spans="28:39" x14ac:dyDescent="0.25">
      <c r="AB780" s="258" t="str">
        <f t="shared" si="22"/>
        <v/>
      </c>
      <c r="AC780" s="259" t="str">
        <f>IF(COUNTIF(AD$78:AD780,AD780)=1,MAX(AC$78:AC779)+1,"")</f>
        <v/>
      </c>
      <c r="AD780" s="220">
        <f>'[2]Изложницы без бурта'!B780</f>
        <v>265</v>
      </c>
      <c r="AE780" s="220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643</v>
      </c>
      <c r="AM780" s="56">
        <f>'[2]Изложницы без бурта'!K780</f>
        <v>0</v>
      </c>
    </row>
    <row r="781" spans="28:39" x14ac:dyDescent="0.25">
      <c r="AB781" s="258" t="str">
        <f t="shared" si="22"/>
        <v/>
      </c>
      <c r="AC781" s="259" t="str">
        <f>IF(COUNTIF(AD$78:AD781,AD781)=1,MAX(AC$78:AC780)+1,"")</f>
        <v/>
      </c>
      <c r="AD781" s="220">
        <f>'[2]Изложницы без бурта'!B781</f>
        <v>265</v>
      </c>
      <c r="AE781" s="220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643</v>
      </c>
      <c r="AM781" s="56">
        <f>'[2]Изложницы без бурта'!K781</f>
        <v>0</v>
      </c>
    </row>
    <row r="782" spans="28:39" x14ac:dyDescent="0.25">
      <c r="AB782" s="258" t="str">
        <f t="shared" si="22"/>
        <v/>
      </c>
      <c r="AC782" s="259" t="str">
        <f>IF(COUNTIF(AD$78:AD782,AD782)=1,MAX(AC$78:AC781)+1,"")</f>
        <v/>
      </c>
      <c r="AD782" s="220">
        <f>'[2]Изложницы без бурта'!B782</f>
        <v>265</v>
      </c>
      <c r="AE782" s="220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643</v>
      </c>
      <c r="AM782" s="56">
        <f>'[2]Изложницы без бурта'!K782</f>
        <v>0</v>
      </c>
    </row>
    <row r="783" spans="28:39" x14ac:dyDescent="0.25">
      <c r="AB783" s="258" t="str">
        <f t="shared" si="22"/>
        <v/>
      </c>
      <c r="AC783" s="259">
        <f>IF(COUNTIF(AD$78:AD783,AD783)=1,MAX(AC$78:AC782)+1,"")</f>
        <v>72</v>
      </c>
      <c r="AD783" s="220">
        <f>'[2]Изложницы без бурта'!B783</f>
        <v>267.5</v>
      </c>
      <c r="AE783" s="220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644</v>
      </c>
      <c r="AM783" s="56">
        <f>'[2]Изложницы без бурта'!K783</f>
        <v>0</v>
      </c>
    </row>
    <row r="784" spans="28:39" x14ac:dyDescent="0.25">
      <c r="AB784" s="258" t="str">
        <f t="shared" si="22"/>
        <v/>
      </c>
      <c r="AC784" s="259" t="str">
        <f>IF(COUNTIF(AD$78:AD784,AD784)=1,MAX(AC$78:AC783)+1,"")</f>
        <v/>
      </c>
      <c r="AD784" s="220">
        <f>'[2]Изложницы без бурта'!B784</f>
        <v>267.5</v>
      </c>
      <c r="AE784" s="220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644</v>
      </c>
      <c r="AM784" s="56">
        <f>'[2]Изложницы без бурта'!K784</f>
        <v>0</v>
      </c>
    </row>
    <row r="785" spans="28:39" x14ac:dyDescent="0.25">
      <c r="AB785" s="258" t="str">
        <f t="shared" si="22"/>
        <v/>
      </c>
      <c r="AC785" s="259">
        <f>IF(COUNTIF(AD$78:AD785,AD785)=1,MAX(AC$78:AC784)+1,"")</f>
        <v>73</v>
      </c>
      <c r="AD785" s="220">
        <f>'[2]Изложницы без бурта'!B785</f>
        <v>270</v>
      </c>
      <c r="AE785" s="220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645</v>
      </c>
      <c r="AM785" s="56">
        <f>'[2]Изложницы без бурта'!K785</f>
        <v>0</v>
      </c>
    </row>
    <row r="786" spans="28:39" x14ac:dyDescent="0.25">
      <c r="AB786" s="258" t="str">
        <f t="shared" si="22"/>
        <v/>
      </c>
      <c r="AC786" s="259" t="str">
        <f>IF(COUNTIF(AD$78:AD786,AD786)=1,MAX(AC$78:AC785)+1,"")</f>
        <v/>
      </c>
      <c r="AD786" s="220">
        <f>'[2]Изложницы без бурта'!B786</f>
        <v>270</v>
      </c>
      <c r="AE786" s="220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645</v>
      </c>
      <c r="AM786" s="56">
        <f>'[2]Изложницы без бурта'!K786</f>
        <v>0</v>
      </c>
    </row>
    <row r="787" spans="28:39" x14ac:dyDescent="0.25">
      <c r="AB787" s="258" t="str">
        <f t="shared" si="22"/>
        <v/>
      </c>
      <c r="AC787" s="259" t="str">
        <f>IF(COUNTIF(AD$78:AD787,AD787)=1,MAX(AC$78:AC786)+1,"")</f>
        <v/>
      </c>
      <c r="AD787" s="220">
        <f>'[2]Изложницы без бурта'!B787</f>
        <v>270</v>
      </c>
      <c r="AE787" s="220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645</v>
      </c>
      <c r="AM787" s="56">
        <f>'[2]Изложницы без бурта'!K787</f>
        <v>0</v>
      </c>
    </row>
    <row r="788" spans="28:39" x14ac:dyDescent="0.25">
      <c r="AB788" s="258" t="str">
        <f t="shared" si="22"/>
        <v/>
      </c>
      <c r="AC788" s="259" t="str">
        <f>IF(COUNTIF(AD$78:AD788,AD788)=1,MAX(AC$78:AC787)+1,"")</f>
        <v/>
      </c>
      <c r="AD788" s="220">
        <f>'[2]Изложницы без бурта'!B788</f>
        <v>270</v>
      </c>
      <c r="AE788" s="220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645</v>
      </c>
      <c r="AM788" s="56">
        <f>'[2]Изложницы без бурта'!K788</f>
        <v>0</v>
      </c>
    </row>
    <row r="789" spans="28:39" x14ac:dyDescent="0.25">
      <c r="AB789" s="258" t="str">
        <f t="shared" si="22"/>
        <v/>
      </c>
      <c r="AC789" s="259">
        <f>IF(COUNTIF(AD$78:AD789,AD789)=1,MAX(AC$78:AC788)+1,"")</f>
        <v>74</v>
      </c>
      <c r="AD789" s="220">
        <f>'[2]Изложницы без бурта'!B789</f>
        <v>275</v>
      </c>
      <c r="AE789" s="220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646</v>
      </c>
      <c r="AM789" s="56">
        <f>'[2]Изложницы без бурта'!K789</f>
        <v>0</v>
      </c>
    </row>
    <row r="790" spans="28:39" x14ac:dyDescent="0.25">
      <c r="AB790" s="258" t="str">
        <f t="shared" si="22"/>
        <v/>
      </c>
      <c r="AC790" s="259" t="str">
        <f>IF(COUNTIF(AD$78:AD790,AD790)=1,MAX(AC$78:AC789)+1,"")</f>
        <v/>
      </c>
      <c r="AD790" s="220">
        <f>'[2]Изложницы без бурта'!B790</f>
        <v>275</v>
      </c>
      <c r="AE790" s="220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646</v>
      </c>
      <c r="AM790" s="56">
        <f>'[2]Изложницы без бурта'!K790</f>
        <v>0</v>
      </c>
    </row>
    <row r="791" spans="28:39" x14ac:dyDescent="0.25">
      <c r="AB791" s="258" t="str">
        <f t="shared" si="22"/>
        <v/>
      </c>
      <c r="AC791" s="259" t="str">
        <f>IF(COUNTIF(AD$78:AD791,AD791)=1,MAX(AC$78:AC790)+1,"")</f>
        <v/>
      </c>
      <c r="AD791" s="220">
        <f>'[2]Изложницы без бурта'!B791</f>
        <v>275</v>
      </c>
      <c r="AE791" s="220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646</v>
      </c>
      <c r="AM791" s="56">
        <f>'[2]Изложницы без бурта'!K791</f>
        <v>0</v>
      </c>
    </row>
    <row r="792" spans="28:39" x14ac:dyDescent="0.25">
      <c r="AB792" s="258" t="str">
        <f t="shared" si="22"/>
        <v/>
      </c>
      <c r="AC792" s="259" t="str">
        <f>IF(COUNTIF(AD$78:AD792,AD792)=1,MAX(AC$78:AC791)+1,"")</f>
        <v/>
      </c>
      <c r="AD792" s="220">
        <f>'[2]Изложницы без бурта'!B792</f>
        <v>275</v>
      </c>
      <c r="AE792" s="220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647</v>
      </c>
      <c r="AM792" s="56">
        <f>'[2]Изложницы без бурта'!K792</f>
        <v>0</v>
      </c>
    </row>
    <row r="793" spans="28:39" x14ac:dyDescent="0.25">
      <c r="AB793" s="258" t="str">
        <f t="shared" si="22"/>
        <v/>
      </c>
      <c r="AC793" s="259" t="str">
        <f>IF(COUNTIF(AD$78:AD793,AD793)=1,MAX(AC$78:AC792)+1,"")</f>
        <v/>
      </c>
      <c r="AD793" s="220">
        <f>'[2]Изложницы без бурта'!B793</f>
        <v>275</v>
      </c>
      <c r="AE793" s="220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647</v>
      </c>
      <c r="AM793" s="56">
        <f>'[2]Изложницы без бурта'!K793</f>
        <v>0</v>
      </c>
    </row>
    <row r="794" spans="28:39" x14ac:dyDescent="0.25">
      <c r="AB794" s="258" t="str">
        <f t="shared" si="22"/>
        <v/>
      </c>
      <c r="AC794" s="259" t="str">
        <f>IF(COUNTIF(AD$78:AD794,AD794)=1,MAX(AC$78:AC793)+1,"")</f>
        <v/>
      </c>
      <c r="AD794" s="220">
        <f>'[2]Изложницы без бурта'!B794</f>
        <v>275</v>
      </c>
      <c r="AE794" s="220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647</v>
      </c>
      <c r="AM794" s="56">
        <f>'[2]Изложницы без бурта'!K794</f>
        <v>0</v>
      </c>
    </row>
    <row r="795" spans="28:39" x14ac:dyDescent="0.25">
      <c r="AB795" s="258" t="str">
        <f t="shared" si="22"/>
        <v/>
      </c>
      <c r="AC795" s="259" t="str">
        <f>IF(COUNTIF(AD$78:AD795,AD795)=1,MAX(AC$78:AC794)+1,"")</f>
        <v/>
      </c>
      <c r="AD795" s="220">
        <f>'[2]Изложницы без бурта'!B795</f>
        <v>275</v>
      </c>
      <c r="AE795" s="220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647</v>
      </c>
      <c r="AM795" s="56">
        <f>'[2]Изложницы без бурта'!K795</f>
        <v>0</v>
      </c>
    </row>
    <row r="796" spans="28:39" x14ac:dyDescent="0.25">
      <c r="AB796" s="258" t="str">
        <f t="shared" si="22"/>
        <v/>
      </c>
      <c r="AC796" s="259" t="str">
        <f>IF(COUNTIF(AD$78:AD796,AD796)=1,MAX(AC$78:AC795)+1,"")</f>
        <v/>
      </c>
      <c r="AD796" s="220">
        <f>'[2]Изложницы без бурта'!B796</f>
        <v>275</v>
      </c>
      <c r="AE796" s="220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647</v>
      </c>
      <c r="AM796" s="56">
        <f>'[2]Изложницы без бурта'!K796</f>
        <v>0</v>
      </c>
    </row>
    <row r="797" spans="28:39" x14ac:dyDescent="0.25">
      <c r="AB797" s="258" t="str">
        <f t="shared" si="22"/>
        <v/>
      </c>
      <c r="AC797" s="259" t="str">
        <f>IF(COUNTIF(AD$78:AD797,AD797)=1,MAX(AC$78:AC796)+1,"")</f>
        <v/>
      </c>
      <c r="AD797" s="220">
        <f>'[2]Изложницы без бурта'!B797</f>
        <v>275</v>
      </c>
      <c r="AE797" s="220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647</v>
      </c>
      <c r="AM797" s="56">
        <f>'[2]Изложницы без бурта'!K797</f>
        <v>0</v>
      </c>
    </row>
    <row r="798" spans="28:39" x14ac:dyDescent="0.25">
      <c r="AB798" s="258" t="str">
        <f t="shared" si="22"/>
        <v/>
      </c>
      <c r="AC798" s="259" t="str">
        <f>IF(COUNTIF(AD$78:AD798,AD798)=1,MAX(AC$78:AC797)+1,"")</f>
        <v/>
      </c>
      <c r="AD798" s="220">
        <f>'[2]Изложницы без бурта'!B798</f>
        <v>275</v>
      </c>
      <c r="AE798" s="220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647</v>
      </c>
      <c r="AM798" s="56">
        <f>'[2]Изложницы без бурта'!K798</f>
        <v>0</v>
      </c>
    </row>
    <row r="799" spans="28:39" x14ac:dyDescent="0.25">
      <c r="AB799" s="258" t="str">
        <f t="shared" si="22"/>
        <v/>
      </c>
      <c r="AC799" s="259" t="str">
        <f>IF(COUNTIF(AD$78:AD799,AD799)=1,MAX(AC$78:AC798)+1,"")</f>
        <v/>
      </c>
      <c r="AD799" s="220">
        <f>'[2]Изложницы без бурта'!B799</f>
        <v>275</v>
      </c>
      <c r="AE799" s="220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647</v>
      </c>
      <c r="AM799" s="56">
        <f>'[2]Изложницы без бурта'!K799</f>
        <v>0</v>
      </c>
    </row>
    <row r="800" spans="28:39" x14ac:dyDescent="0.25">
      <c r="AB800" s="258" t="str">
        <f t="shared" si="22"/>
        <v/>
      </c>
      <c r="AC800" s="259" t="str">
        <f>IF(COUNTIF(AD$78:AD800,AD800)=1,MAX(AC$78:AC799)+1,"")</f>
        <v/>
      </c>
      <c r="AD800" s="220">
        <f>'[2]Изложницы без бурта'!B800</f>
        <v>275</v>
      </c>
      <c r="AE800" s="220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647</v>
      </c>
      <c r="AM800" s="56">
        <f>'[2]Изложницы без бурта'!K800</f>
        <v>0</v>
      </c>
    </row>
    <row r="801" spans="28:39" x14ac:dyDescent="0.25">
      <c r="AB801" s="258" t="str">
        <f t="shared" si="22"/>
        <v/>
      </c>
      <c r="AC801" s="259">
        <f>IF(COUNTIF(AD$78:AD801,AD801)=1,MAX(AC$78:AC800)+1,"")</f>
        <v>75</v>
      </c>
      <c r="AD801" s="220">
        <f>'[2]Изложницы без бурта'!B801</f>
        <v>277.5</v>
      </c>
      <c r="AE801" s="220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647</v>
      </c>
      <c r="AM801" s="56">
        <f>'[2]Изложницы без бурта'!K801</f>
        <v>0</v>
      </c>
    </row>
    <row r="802" spans="28:39" x14ac:dyDescent="0.25">
      <c r="AB802" s="258" t="str">
        <f t="shared" si="22"/>
        <v/>
      </c>
      <c r="AC802" s="259" t="str">
        <f>IF(COUNTIF(AD$78:AD802,AD802)=1,MAX(AC$78:AC801)+1,"")</f>
        <v/>
      </c>
      <c r="AD802" s="220">
        <f>'[2]Изложницы без бурта'!B802</f>
        <v>277.5</v>
      </c>
      <c r="AE802" s="220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647</v>
      </c>
      <c r="AM802" s="56">
        <f>'[2]Изложницы без бурта'!K802</f>
        <v>0</v>
      </c>
    </row>
    <row r="803" spans="28:39" x14ac:dyDescent="0.25">
      <c r="AB803" s="258" t="str">
        <f t="shared" si="22"/>
        <v/>
      </c>
      <c r="AC803" s="259" t="str">
        <f>IF(COUNTIF(AD$78:AD803,AD803)=1,MAX(AC$78:AC802)+1,"")</f>
        <v/>
      </c>
      <c r="AD803" s="220">
        <f>'[2]Изложницы без бурта'!B803</f>
        <v>277.5</v>
      </c>
      <c r="AE803" s="220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647</v>
      </c>
      <c r="AM803" s="56">
        <f>'[2]Изложницы без бурта'!K803</f>
        <v>0</v>
      </c>
    </row>
    <row r="804" spans="28:39" x14ac:dyDescent="0.25">
      <c r="AB804" s="258" t="str">
        <f t="shared" si="22"/>
        <v/>
      </c>
      <c r="AC804" s="259" t="str">
        <f>IF(COUNTIF(AD$78:AD804,AD804)=1,MAX(AC$78:AC803)+1,"")</f>
        <v/>
      </c>
      <c r="AD804" s="220">
        <f>'[2]Изложницы без бурта'!B804</f>
        <v>277.5</v>
      </c>
      <c r="AE804" s="220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648</v>
      </c>
      <c r="AM804" s="56">
        <f>'[2]Изложницы без бурта'!K804</f>
        <v>0</v>
      </c>
    </row>
    <row r="805" spans="28:39" x14ac:dyDescent="0.25">
      <c r="AB805" s="258" t="str">
        <f t="shared" si="22"/>
        <v/>
      </c>
      <c r="AC805" s="259">
        <f>IF(COUNTIF(AD$78:AD805,AD805)=1,MAX(AC$78:AC804)+1,"")</f>
        <v>76</v>
      </c>
      <c r="AD805" s="220">
        <f>'[2]Изложницы без бурта'!B805</f>
        <v>280</v>
      </c>
      <c r="AE805" s="220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648</v>
      </c>
      <c r="AM805" s="56">
        <f>'[2]Изложницы без бурта'!K805</f>
        <v>0</v>
      </c>
    </row>
    <row r="806" spans="28:39" x14ac:dyDescent="0.25">
      <c r="AB806" s="258" t="str">
        <f t="shared" si="22"/>
        <v/>
      </c>
      <c r="AC806" s="259" t="str">
        <f>IF(COUNTIF(AD$78:AD806,AD806)=1,MAX(AC$78:AC805)+1,"")</f>
        <v/>
      </c>
      <c r="AD806" s="220">
        <f>'[2]Изложницы без бурта'!B806</f>
        <v>280</v>
      </c>
      <c r="AE806" s="220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648</v>
      </c>
      <c r="AM806" s="56">
        <f>'[2]Изложницы без бурта'!K806</f>
        <v>0</v>
      </c>
    </row>
    <row r="807" spans="28:39" x14ac:dyDescent="0.25">
      <c r="AB807" s="258" t="str">
        <f t="shared" si="22"/>
        <v/>
      </c>
      <c r="AC807" s="259" t="str">
        <f>IF(COUNTIF(AD$78:AD807,AD807)=1,MAX(AC$78:AC806)+1,"")</f>
        <v/>
      </c>
      <c r="AD807" s="220">
        <f>'[2]Изложницы без бурта'!B807</f>
        <v>280</v>
      </c>
      <c r="AE807" s="220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648</v>
      </c>
      <c r="AM807" s="56">
        <f>'[2]Изложницы без бурта'!K807</f>
        <v>0</v>
      </c>
    </row>
    <row r="808" spans="28:39" x14ac:dyDescent="0.25">
      <c r="AB808" s="258" t="str">
        <f t="shared" si="22"/>
        <v/>
      </c>
      <c r="AC808" s="259" t="str">
        <f>IF(COUNTIF(AD$78:AD808,AD808)=1,MAX(AC$78:AC807)+1,"")</f>
        <v/>
      </c>
      <c r="AD808" s="220">
        <f>'[2]Изложницы без бурта'!B808</f>
        <v>280</v>
      </c>
      <c r="AE808" s="220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649</v>
      </c>
      <c r="AM808" s="56">
        <f>'[2]Изложницы без бурта'!K808</f>
        <v>0</v>
      </c>
    </row>
    <row r="809" spans="28:39" x14ac:dyDescent="0.25">
      <c r="AB809" s="258" t="str">
        <f t="shared" si="22"/>
        <v/>
      </c>
      <c r="AC809" s="259" t="str">
        <f>IF(COUNTIF(AD$78:AD809,AD809)=1,MAX(AC$78:AC808)+1,"")</f>
        <v/>
      </c>
      <c r="AD809" s="220">
        <f>'[2]Изложницы без бурта'!B809</f>
        <v>280</v>
      </c>
      <c r="AE809" s="220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649</v>
      </c>
      <c r="AM809" s="56">
        <f>'[2]Изложницы без бурта'!K809</f>
        <v>0</v>
      </c>
    </row>
    <row r="810" spans="28:39" x14ac:dyDescent="0.25">
      <c r="AB810" s="258" t="str">
        <f t="shared" si="22"/>
        <v/>
      </c>
      <c r="AC810" s="259" t="str">
        <f>IF(COUNTIF(AD$78:AD810,AD810)=1,MAX(AC$78:AC809)+1,"")</f>
        <v/>
      </c>
      <c r="AD810" s="220">
        <f>'[2]Изложницы без бурта'!B810</f>
        <v>280</v>
      </c>
      <c r="AE810" s="220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649</v>
      </c>
      <c r="AM810" s="56">
        <f>'[2]Изложницы без бурта'!K810</f>
        <v>0</v>
      </c>
    </row>
    <row r="811" spans="28:39" x14ac:dyDescent="0.25">
      <c r="AB811" s="258" t="str">
        <f t="shared" si="22"/>
        <v/>
      </c>
      <c r="AC811" s="259" t="str">
        <f>IF(COUNTIF(AD$78:AD811,AD811)=1,MAX(AC$78:AC810)+1,"")</f>
        <v/>
      </c>
      <c r="AD811" s="220">
        <f>'[2]Изложницы без бурта'!B811</f>
        <v>280</v>
      </c>
      <c r="AE811" s="220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649</v>
      </c>
      <c r="AM811" s="56">
        <f>'[2]Изложницы без бурта'!K811</f>
        <v>0</v>
      </c>
    </row>
    <row r="812" spans="28:39" x14ac:dyDescent="0.25">
      <c r="AB812" s="258" t="str">
        <f t="shared" si="22"/>
        <v/>
      </c>
      <c r="AC812" s="259" t="str">
        <f>IF(COUNTIF(AD$78:AD812,AD812)=1,MAX(AC$78:AC811)+1,"")</f>
        <v/>
      </c>
      <c r="AD812" s="220">
        <f>'[2]Изложницы без бурта'!B812</f>
        <v>280</v>
      </c>
      <c r="AE812" s="220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649</v>
      </c>
      <c r="AM812" s="56">
        <f>'[2]Изложницы без бурта'!K812</f>
        <v>0</v>
      </c>
    </row>
    <row r="813" spans="28:39" x14ac:dyDescent="0.25">
      <c r="AB813" s="258" t="str">
        <f t="shared" si="22"/>
        <v/>
      </c>
      <c r="AC813" s="259" t="str">
        <f>IF(COUNTIF(AD$78:AD813,AD813)=1,MAX(AC$78:AC812)+1,"")</f>
        <v/>
      </c>
      <c r="AD813" s="220">
        <f>'[2]Изложницы без бурта'!B813</f>
        <v>280</v>
      </c>
      <c r="AE813" s="220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649</v>
      </c>
      <c r="AM813" s="56">
        <f>'[2]Изложницы без бурта'!K813</f>
        <v>0</v>
      </c>
    </row>
    <row r="814" spans="28:39" x14ac:dyDescent="0.25">
      <c r="AB814" s="258" t="str">
        <f t="shared" si="22"/>
        <v/>
      </c>
      <c r="AC814" s="259" t="str">
        <f>IF(COUNTIF(AD$78:AD814,AD814)=1,MAX(AC$78:AC813)+1,"")</f>
        <v/>
      </c>
      <c r="AD814" s="220">
        <f>'[2]Изложницы без бурта'!B814</f>
        <v>280</v>
      </c>
      <c r="AE814" s="220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649</v>
      </c>
      <c r="AM814" s="56">
        <f>'[2]Изложницы без бурта'!K814</f>
        <v>0</v>
      </c>
    </row>
    <row r="815" spans="28:39" x14ac:dyDescent="0.25">
      <c r="AB815" s="258" t="str">
        <f t="shared" si="22"/>
        <v/>
      </c>
      <c r="AC815" s="259" t="str">
        <f>IF(COUNTIF(AD$78:AD815,AD815)=1,MAX(AC$78:AC814)+1,"")</f>
        <v/>
      </c>
      <c r="AD815" s="220">
        <f>'[2]Изложницы без бурта'!B815</f>
        <v>280</v>
      </c>
      <c r="AE815" s="220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649</v>
      </c>
      <c r="AM815" s="56">
        <f>'[2]Изложницы без бурта'!K815</f>
        <v>0</v>
      </c>
    </row>
    <row r="816" spans="28:39" x14ac:dyDescent="0.25">
      <c r="AB816" s="258" t="str">
        <f t="shared" si="22"/>
        <v/>
      </c>
      <c r="AC816" s="259">
        <f>IF(COUNTIF(AD$78:AD816,AD816)=1,MAX(AC$78:AC815)+1,"")</f>
        <v>77</v>
      </c>
      <c r="AD816" s="220">
        <f>'[2]Изложницы без бурта'!B816</f>
        <v>282.5</v>
      </c>
      <c r="AE816" s="220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649</v>
      </c>
      <c r="AM816" s="56">
        <f>'[2]Изложницы без бурта'!K816</f>
        <v>0</v>
      </c>
    </row>
    <row r="817" spans="28:39" x14ac:dyDescent="0.25">
      <c r="AB817" s="258" t="str">
        <f t="shared" si="22"/>
        <v/>
      </c>
      <c r="AC817" s="259" t="str">
        <f>IF(COUNTIF(AD$78:AD817,AD817)=1,MAX(AC$78:AC816)+1,"")</f>
        <v/>
      </c>
      <c r="AD817" s="220">
        <f>'[2]Изложницы без бурта'!B817</f>
        <v>282.5</v>
      </c>
      <c r="AE817" s="220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649</v>
      </c>
      <c r="AM817" s="56">
        <f>'[2]Изложницы без бурта'!K817</f>
        <v>0</v>
      </c>
    </row>
    <row r="818" spans="28:39" x14ac:dyDescent="0.25">
      <c r="AB818" s="258" t="str">
        <f t="shared" si="22"/>
        <v/>
      </c>
      <c r="AC818" s="259" t="str">
        <f>IF(COUNTIF(AD$78:AD818,AD818)=1,MAX(AC$78:AC817)+1,"")</f>
        <v/>
      </c>
      <c r="AD818" s="220">
        <f>'[2]Изложницы без бурта'!B818</f>
        <v>282.5</v>
      </c>
      <c r="AE818" s="220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649</v>
      </c>
      <c r="AM818" s="56">
        <f>'[2]Изложницы без бурта'!K818</f>
        <v>0</v>
      </c>
    </row>
    <row r="819" spans="28:39" x14ac:dyDescent="0.25">
      <c r="AB819" s="258" t="str">
        <f t="shared" si="22"/>
        <v/>
      </c>
      <c r="AC819" s="259" t="str">
        <f>IF(COUNTIF(AD$78:AD819,AD819)=1,MAX(AC$78:AC818)+1,"")</f>
        <v/>
      </c>
      <c r="AD819" s="220">
        <f>'[2]Изложницы без бурта'!B819</f>
        <v>282.5</v>
      </c>
      <c r="AE819" s="220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650</v>
      </c>
      <c r="AM819" s="56">
        <f>'[2]Изложницы без бурта'!K819</f>
        <v>0</v>
      </c>
    </row>
    <row r="820" spans="28:39" x14ac:dyDescent="0.25">
      <c r="AB820" s="258" t="str">
        <f t="shared" si="22"/>
        <v/>
      </c>
      <c r="AC820" s="259" t="str">
        <f>IF(COUNTIF(AD$78:AD820,AD820)=1,MAX(AC$78:AC819)+1,"")</f>
        <v/>
      </c>
      <c r="AD820" s="220">
        <f>'[2]Изложницы без бурта'!B820</f>
        <v>282.5</v>
      </c>
      <c r="AE820" s="220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650</v>
      </c>
      <c r="AM820" s="56">
        <f>'[2]Изложницы без бурта'!K820</f>
        <v>0</v>
      </c>
    </row>
    <row r="821" spans="28:39" x14ac:dyDescent="0.25">
      <c r="AB821" s="258" t="str">
        <f t="shared" si="22"/>
        <v/>
      </c>
      <c r="AC821" s="259" t="str">
        <f>IF(COUNTIF(AD$78:AD821,AD821)=1,MAX(AC$78:AC820)+1,"")</f>
        <v/>
      </c>
      <c r="AD821" s="220">
        <f>'[2]Изложницы без бурта'!B821</f>
        <v>282.5</v>
      </c>
      <c r="AE821" s="220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650</v>
      </c>
      <c r="AM821" s="56">
        <f>'[2]Изложницы без бурта'!K821</f>
        <v>0</v>
      </c>
    </row>
    <row r="822" spans="28:39" x14ac:dyDescent="0.25">
      <c r="AB822" s="258" t="str">
        <f t="shared" si="22"/>
        <v/>
      </c>
      <c r="AC822" s="259" t="str">
        <f>IF(COUNTIF(AD$78:AD822,AD822)=1,MAX(AC$78:AC821)+1,"")</f>
        <v/>
      </c>
      <c r="AD822" s="220">
        <f>'[2]Изложницы без бурта'!B822</f>
        <v>282.5</v>
      </c>
      <c r="AE822" s="220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650</v>
      </c>
      <c r="AM822" s="56">
        <f>'[2]Изложницы без бурта'!K822</f>
        <v>0</v>
      </c>
    </row>
    <row r="823" spans="28:39" x14ac:dyDescent="0.25">
      <c r="AB823" s="258" t="str">
        <f t="shared" si="22"/>
        <v/>
      </c>
      <c r="AC823" s="259" t="str">
        <f>IF(COUNTIF(AD$78:AD823,AD823)=1,MAX(AC$78:AC822)+1,"")</f>
        <v/>
      </c>
      <c r="AD823" s="220">
        <f>'[2]Изложницы без бурта'!B823</f>
        <v>282.5</v>
      </c>
      <c r="AE823" s="220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650</v>
      </c>
      <c r="AM823" s="56">
        <f>'[2]Изложницы без бурта'!K823</f>
        <v>0</v>
      </c>
    </row>
    <row r="824" spans="28:39" x14ac:dyDescent="0.25">
      <c r="AB824" s="258" t="str">
        <f t="shared" si="22"/>
        <v/>
      </c>
      <c r="AC824" s="259" t="str">
        <f>IF(COUNTIF(AD$78:AD824,AD824)=1,MAX(AC$78:AC823)+1,"")</f>
        <v/>
      </c>
      <c r="AD824" s="220">
        <f>'[2]Изложницы без бурта'!B824</f>
        <v>282.5</v>
      </c>
      <c r="AE824" s="220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650</v>
      </c>
      <c r="AM824" s="56">
        <f>'[2]Изложницы без бурта'!K824</f>
        <v>0</v>
      </c>
    </row>
    <row r="825" spans="28:39" x14ac:dyDescent="0.25">
      <c r="AB825" s="258" t="str">
        <f t="shared" ref="AB825:AB888" si="23">IF(MAX(AC825:AC1902)&lt;ROW(747:747),"",VLOOKUP(ROW(747:747),AC825:AD1902,2))</f>
        <v/>
      </c>
      <c r="AC825" s="259" t="str">
        <f>IF(COUNTIF(AD$78:AD825,AD825)=1,MAX(AC$78:AC824)+1,"")</f>
        <v/>
      </c>
      <c r="AD825" s="220">
        <f>'[2]Изложницы без бурта'!B825</f>
        <v>282.5</v>
      </c>
      <c r="AE825" s="220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650</v>
      </c>
      <c r="AM825" s="56">
        <f>'[2]Изложницы без бурта'!K825</f>
        <v>0</v>
      </c>
    </row>
    <row r="826" spans="28:39" x14ac:dyDescent="0.25">
      <c r="AB826" s="258" t="str">
        <f t="shared" si="23"/>
        <v/>
      </c>
      <c r="AC826" s="259" t="str">
        <f>IF(COUNTIF(AD$78:AD826,AD826)=1,MAX(AC$78:AC825)+1,"")</f>
        <v/>
      </c>
      <c r="AD826" s="220">
        <f>'[2]Изложницы без бурта'!B826</f>
        <v>282.5</v>
      </c>
      <c r="AE826" s="220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650</v>
      </c>
      <c r="AM826" s="56">
        <f>'[2]Изложницы без бурта'!K826</f>
        <v>0</v>
      </c>
    </row>
    <row r="827" spans="28:39" x14ac:dyDescent="0.25">
      <c r="AB827" s="258" t="str">
        <f t="shared" si="23"/>
        <v/>
      </c>
      <c r="AC827" s="259" t="str">
        <f>IF(COUNTIF(AD$78:AD827,AD827)=1,MAX(AC$78:AC826)+1,"")</f>
        <v/>
      </c>
      <c r="AD827" s="220">
        <f>'[2]Изложницы без бурта'!B827</f>
        <v>282.5</v>
      </c>
      <c r="AE827" s="220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650</v>
      </c>
      <c r="AM827" s="56">
        <f>'[2]Изложницы без бурта'!K827</f>
        <v>0</v>
      </c>
    </row>
    <row r="828" spans="28:39" x14ac:dyDescent="0.25">
      <c r="AB828" s="258" t="str">
        <f t="shared" si="23"/>
        <v/>
      </c>
      <c r="AC828" s="259" t="str">
        <f>IF(COUNTIF(AD$78:AD828,AD828)=1,MAX(AC$78:AC827)+1,"")</f>
        <v/>
      </c>
      <c r="AD828" s="220">
        <f>'[2]Изложницы без бурта'!B828</f>
        <v>282.5</v>
      </c>
      <c r="AE828" s="220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650</v>
      </c>
      <c r="AM828" s="56">
        <f>'[2]Изложницы без бурта'!K828</f>
        <v>0</v>
      </c>
    </row>
    <row r="829" spans="28:39" x14ac:dyDescent="0.25">
      <c r="AB829" s="258" t="str">
        <f t="shared" si="23"/>
        <v/>
      </c>
      <c r="AC829" s="259" t="str">
        <f>IF(COUNTIF(AD$78:AD829,AD829)=1,MAX(AC$78:AC828)+1,"")</f>
        <v/>
      </c>
      <c r="AD829" s="220">
        <f>'[2]Изложницы без бурта'!B829</f>
        <v>282.5</v>
      </c>
      <c r="AE829" s="220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650</v>
      </c>
      <c r="AM829" s="56">
        <f>'[2]Изложницы без бурта'!K829</f>
        <v>0</v>
      </c>
    </row>
    <row r="830" spans="28:39" x14ac:dyDescent="0.25">
      <c r="AB830" s="258" t="str">
        <f t="shared" si="23"/>
        <v/>
      </c>
      <c r="AC830" s="259" t="str">
        <f>IF(COUNTIF(AD$78:AD830,AD830)=1,MAX(AC$78:AC829)+1,"")</f>
        <v/>
      </c>
      <c r="AD830" s="220">
        <f>'[2]Изложницы без бурта'!B830</f>
        <v>282.5</v>
      </c>
      <c r="AE830" s="220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650</v>
      </c>
      <c r="AM830" s="56">
        <f>'[2]Изложницы без бурта'!K830</f>
        <v>0</v>
      </c>
    </row>
    <row r="831" spans="28:39" x14ac:dyDescent="0.25">
      <c r="AB831" s="258" t="str">
        <f t="shared" si="23"/>
        <v/>
      </c>
      <c r="AC831" s="259" t="str">
        <f>IF(COUNTIF(AD$78:AD831,AD831)=1,MAX(AC$78:AC830)+1,"")</f>
        <v/>
      </c>
      <c r="AD831" s="220">
        <f>'[2]Изложницы без бурта'!B831</f>
        <v>282.5</v>
      </c>
      <c r="AE831" s="220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650</v>
      </c>
      <c r="AM831" s="56">
        <f>'[2]Изложницы без бурта'!K831</f>
        <v>0</v>
      </c>
    </row>
    <row r="832" spans="28:39" x14ac:dyDescent="0.25">
      <c r="AB832" s="258" t="str">
        <f t="shared" si="23"/>
        <v/>
      </c>
      <c r="AC832" s="259">
        <f>IF(COUNTIF(AD$78:AD832,AD832)=1,MAX(AC$78:AC831)+1,"")</f>
        <v>78</v>
      </c>
      <c r="AD832" s="220">
        <f>'[2]Изложницы без бурта'!B832</f>
        <v>285</v>
      </c>
      <c r="AE832" s="220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650</v>
      </c>
      <c r="AM832" s="56">
        <f>'[2]Изложницы без бурта'!K832</f>
        <v>0</v>
      </c>
    </row>
    <row r="833" spans="28:39" x14ac:dyDescent="0.25">
      <c r="AB833" s="258" t="str">
        <f t="shared" si="23"/>
        <v/>
      </c>
      <c r="AC833" s="259" t="str">
        <f>IF(COUNTIF(AD$78:AD833,AD833)=1,MAX(AC$78:AC832)+1,"")</f>
        <v/>
      </c>
      <c r="AD833" s="220">
        <f>'[2]Изложницы без бурта'!B833</f>
        <v>285</v>
      </c>
      <c r="AE833" s="220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650</v>
      </c>
      <c r="AM833" s="56">
        <f>'[2]Изложницы без бурта'!K833</f>
        <v>0</v>
      </c>
    </row>
    <row r="834" spans="28:39" x14ac:dyDescent="0.25">
      <c r="AB834" s="258" t="str">
        <f t="shared" si="23"/>
        <v/>
      </c>
      <c r="AC834" s="259" t="str">
        <f>IF(COUNTIF(AD$78:AD834,AD834)=1,MAX(AC$78:AC833)+1,"")</f>
        <v/>
      </c>
      <c r="AD834" s="220">
        <f>'[2]Изложницы без бурта'!B834</f>
        <v>285</v>
      </c>
      <c r="AE834" s="220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650</v>
      </c>
      <c r="AM834" s="56">
        <f>'[2]Изложницы без бурта'!K834</f>
        <v>0</v>
      </c>
    </row>
    <row r="835" spans="28:39" x14ac:dyDescent="0.25">
      <c r="AB835" s="258" t="str">
        <f t="shared" si="23"/>
        <v/>
      </c>
      <c r="AC835" s="259" t="str">
        <f>IF(COUNTIF(AD$78:AD835,AD835)=1,MAX(AC$78:AC834)+1,"")</f>
        <v/>
      </c>
      <c r="AD835" s="220">
        <f>'[2]Изложницы без бурта'!B835</f>
        <v>285</v>
      </c>
      <c r="AE835" s="220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651</v>
      </c>
      <c r="AM835" s="56">
        <f>'[2]Изложницы без бурта'!K835</f>
        <v>0</v>
      </c>
    </row>
    <row r="836" spans="28:39" x14ac:dyDescent="0.25">
      <c r="AB836" s="258" t="str">
        <f t="shared" si="23"/>
        <v/>
      </c>
      <c r="AC836" s="259" t="str">
        <f>IF(COUNTIF(AD$78:AD836,AD836)=1,MAX(AC$78:AC835)+1,"")</f>
        <v/>
      </c>
      <c r="AD836" s="220">
        <f>'[2]Изложницы без бурта'!B836</f>
        <v>285</v>
      </c>
      <c r="AE836" s="220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651</v>
      </c>
      <c r="AM836" s="56">
        <f>'[2]Изложницы без бурта'!K836</f>
        <v>0</v>
      </c>
    </row>
    <row r="837" spans="28:39" x14ac:dyDescent="0.25">
      <c r="AB837" s="258" t="str">
        <f t="shared" si="23"/>
        <v/>
      </c>
      <c r="AC837" s="259" t="str">
        <f>IF(COUNTIF(AD$78:AD837,AD837)=1,MAX(AC$78:AC836)+1,"")</f>
        <v/>
      </c>
      <c r="AD837" s="220">
        <f>'[2]Изложницы без бурта'!B837</f>
        <v>285</v>
      </c>
      <c r="AE837" s="220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651</v>
      </c>
      <c r="AM837" s="56">
        <f>'[2]Изложницы без бурта'!K837</f>
        <v>0</v>
      </c>
    </row>
    <row r="838" spans="28:39" x14ac:dyDescent="0.25">
      <c r="AB838" s="258" t="str">
        <f t="shared" si="23"/>
        <v/>
      </c>
      <c r="AC838" s="259" t="str">
        <f>IF(COUNTIF(AD$78:AD838,AD838)=1,MAX(AC$78:AC837)+1,"")</f>
        <v/>
      </c>
      <c r="AD838" s="220">
        <f>'[2]Изложницы без бурта'!B838</f>
        <v>285</v>
      </c>
      <c r="AE838" s="220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651</v>
      </c>
      <c r="AM838" s="56">
        <f>'[2]Изложницы без бурта'!K838</f>
        <v>0</v>
      </c>
    </row>
    <row r="839" spans="28:39" x14ac:dyDescent="0.25">
      <c r="AB839" s="258" t="str">
        <f t="shared" si="23"/>
        <v/>
      </c>
      <c r="AC839" s="259" t="str">
        <f>IF(COUNTIF(AD$78:AD839,AD839)=1,MAX(AC$78:AC838)+1,"")</f>
        <v/>
      </c>
      <c r="AD839" s="220">
        <f>'[2]Изложницы без бурта'!B839</f>
        <v>285</v>
      </c>
      <c r="AE839" s="220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651</v>
      </c>
      <c r="AM839" s="56">
        <f>'[2]Изложницы без бурта'!K839</f>
        <v>0</v>
      </c>
    </row>
    <row r="840" spans="28:39" x14ac:dyDescent="0.25">
      <c r="AB840" s="258" t="str">
        <f t="shared" si="23"/>
        <v/>
      </c>
      <c r="AC840" s="259" t="str">
        <f>IF(COUNTIF(AD$78:AD840,AD840)=1,MAX(AC$78:AC839)+1,"")</f>
        <v/>
      </c>
      <c r="AD840" s="220">
        <f>'[2]Изложницы без бурта'!B840</f>
        <v>285</v>
      </c>
      <c r="AE840" s="220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651</v>
      </c>
      <c r="AM840" s="56">
        <f>'[2]Изложницы без бурта'!K840</f>
        <v>0</v>
      </c>
    </row>
    <row r="841" spans="28:39" x14ac:dyDescent="0.25">
      <c r="AB841" s="258" t="str">
        <f t="shared" si="23"/>
        <v/>
      </c>
      <c r="AC841" s="259" t="str">
        <f>IF(COUNTIF(AD$78:AD841,AD841)=1,MAX(AC$78:AC840)+1,"")</f>
        <v/>
      </c>
      <c r="AD841" s="220">
        <f>'[2]Изложницы без бурта'!B841</f>
        <v>285</v>
      </c>
      <c r="AE841" s="220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651</v>
      </c>
      <c r="AM841" s="56">
        <f>'[2]Изложницы без бурта'!K841</f>
        <v>0</v>
      </c>
    </row>
    <row r="842" spans="28:39" x14ac:dyDescent="0.25">
      <c r="AB842" s="258" t="str">
        <f t="shared" si="23"/>
        <v/>
      </c>
      <c r="AC842" s="259" t="str">
        <f>IF(COUNTIF(AD$78:AD842,AD842)=1,MAX(AC$78:AC841)+1,"")</f>
        <v/>
      </c>
      <c r="AD842" s="220">
        <f>'[2]Изложницы без бурта'!B842</f>
        <v>285</v>
      </c>
      <c r="AE842" s="220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651</v>
      </c>
      <c r="AM842" s="56">
        <f>'[2]Изложницы без бурта'!K842</f>
        <v>0</v>
      </c>
    </row>
    <row r="843" spans="28:39" x14ac:dyDescent="0.25">
      <c r="AB843" s="258" t="str">
        <f t="shared" si="23"/>
        <v/>
      </c>
      <c r="AC843" s="259" t="str">
        <f>IF(COUNTIF(AD$78:AD843,AD843)=1,MAX(AC$78:AC842)+1,"")</f>
        <v/>
      </c>
      <c r="AD843" s="220">
        <f>'[2]Изложницы без бурта'!B843</f>
        <v>285</v>
      </c>
      <c r="AE843" s="220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651</v>
      </c>
      <c r="AM843" s="56">
        <f>'[2]Изложницы без бурта'!K843</f>
        <v>0</v>
      </c>
    </row>
    <row r="844" spans="28:39" x14ac:dyDescent="0.25">
      <c r="AB844" s="258" t="str">
        <f t="shared" si="23"/>
        <v/>
      </c>
      <c r="AC844" s="259" t="str">
        <f>IF(COUNTIF(AD$78:AD844,AD844)=1,MAX(AC$78:AC843)+1,"")</f>
        <v/>
      </c>
      <c r="AD844" s="220">
        <f>'[2]Изложницы без бурта'!B844</f>
        <v>285</v>
      </c>
      <c r="AE844" s="220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651</v>
      </c>
      <c r="AM844" s="56">
        <f>'[2]Изложницы без бурта'!K844</f>
        <v>0</v>
      </c>
    </row>
    <row r="845" spans="28:39" x14ac:dyDescent="0.25">
      <c r="AB845" s="258" t="str">
        <f t="shared" si="23"/>
        <v/>
      </c>
      <c r="AC845" s="259" t="str">
        <f>IF(COUNTIF(AD$78:AD845,AD845)=1,MAX(AC$78:AC844)+1,"")</f>
        <v/>
      </c>
      <c r="AD845" s="220">
        <f>'[2]Изложницы без бурта'!B845</f>
        <v>285</v>
      </c>
      <c r="AE845" s="220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651</v>
      </c>
      <c r="AM845" s="56">
        <f>'[2]Изложницы без бурта'!K845</f>
        <v>0</v>
      </c>
    </row>
    <row r="846" spans="28:39" x14ac:dyDescent="0.25">
      <c r="AB846" s="258" t="str">
        <f t="shared" si="23"/>
        <v/>
      </c>
      <c r="AC846" s="259" t="str">
        <f>IF(COUNTIF(AD$78:AD846,AD846)=1,MAX(AC$78:AC845)+1,"")</f>
        <v/>
      </c>
      <c r="AD846" s="220">
        <f>'[2]Изложницы без бурта'!B846</f>
        <v>285</v>
      </c>
      <c r="AE846" s="220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651</v>
      </c>
      <c r="AM846" s="56">
        <f>'[2]Изложницы без бурта'!K846</f>
        <v>0</v>
      </c>
    </row>
    <row r="847" spans="28:39" x14ac:dyDescent="0.25">
      <c r="AB847" s="258" t="str">
        <f t="shared" si="23"/>
        <v/>
      </c>
      <c r="AC847" s="259" t="str">
        <f>IF(COUNTIF(AD$78:AD847,AD847)=1,MAX(AC$78:AC846)+1,"")</f>
        <v/>
      </c>
      <c r="AD847" s="220">
        <f>'[2]Изложницы без бурта'!B847</f>
        <v>285</v>
      </c>
      <c r="AE847" s="220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651</v>
      </c>
      <c r="AM847" s="56">
        <f>'[2]Изложницы без бурта'!K847</f>
        <v>0</v>
      </c>
    </row>
    <row r="848" spans="28:39" x14ac:dyDescent="0.25">
      <c r="AB848" s="258" t="str">
        <f t="shared" si="23"/>
        <v/>
      </c>
      <c r="AC848" s="259" t="str">
        <f>IF(COUNTIF(AD$78:AD848,AD848)=1,MAX(AC$78:AC847)+1,"")</f>
        <v/>
      </c>
      <c r="AD848" s="220">
        <f>'[2]Изложницы без бурта'!B848</f>
        <v>285</v>
      </c>
      <c r="AE848" s="220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651</v>
      </c>
      <c r="AM848" s="56">
        <f>'[2]Изложницы без бурта'!K848</f>
        <v>0</v>
      </c>
    </row>
    <row r="849" spans="28:39" x14ac:dyDescent="0.25">
      <c r="AB849" s="258" t="str">
        <f t="shared" si="23"/>
        <v/>
      </c>
      <c r="AC849" s="259" t="str">
        <f>IF(COUNTIF(AD$78:AD849,AD849)=1,MAX(AC$78:AC848)+1,"")</f>
        <v/>
      </c>
      <c r="AD849" s="220">
        <f>'[2]Изложницы без бурта'!B849</f>
        <v>285</v>
      </c>
      <c r="AE849" s="220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651</v>
      </c>
      <c r="AM849" s="56">
        <f>'[2]Изложницы без бурта'!K849</f>
        <v>0</v>
      </c>
    </row>
    <row r="850" spans="28:39" x14ac:dyDescent="0.25">
      <c r="AB850" s="258" t="str">
        <f t="shared" si="23"/>
        <v/>
      </c>
      <c r="AC850" s="259" t="str">
        <f>IF(COUNTIF(AD$78:AD850,AD850)=1,MAX(AC$78:AC849)+1,"")</f>
        <v/>
      </c>
      <c r="AD850" s="220">
        <f>'[2]Изложницы без бурта'!B850</f>
        <v>285</v>
      </c>
      <c r="AE850" s="220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651</v>
      </c>
      <c r="AM850" s="56">
        <f>'[2]Изложницы без бурта'!K850</f>
        <v>0</v>
      </c>
    </row>
    <row r="851" spans="28:39" x14ac:dyDescent="0.25">
      <c r="AB851" s="258" t="str">
        <f t="shared" si="23"/>
        <v/>
      </c>
      <c r="AC851" s="259" t="str">
        <f>IF(COUNTIF(AD$78:AD851,AD851)=1,MAX(AC$78:AC850)+1,"")</f>
        <v/>
      </c>
      <c r="AD851" s="220">
        <f>'[2]Изложницы без бурта'!B851</f>
        <v>285</v>
      </c>
      <c r="AE851" s="220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651</v>
      </c>
      <c r="AM851" s="56">
        <f>'[2]Изложницы без бурта'!K851</f>
        <v>0</v>
      </c>
    </row>
    <row r="852" spans="28:39" x14ac:dyDescent="0.25">
      <c r="AB852" s="258" t="str">
        <f t="shared" si="23"/>
        <v/>
      </c>
      <c r="AC852" s="259" t="str">
        <f>IF(COUNTIF(AD$78:AD852,AD852)=1,MAX(AC$78:AC851)+1,"")</f>
        <v/>
      </c>
      <c r="AD852" s="220">
        <f>'[2]Изложницы без бурта'!B852</f>
        <v>285</v>
      </c>
      <c r="AE852" s="220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651</v>
      </c>
      <c r="AM852" s="56">
        <f>'[2]Изложницы без бурта'!K852</f>
        <v>0</v>
      </c>
    </row>
    <row r="853" spans="28:39" x14ac:dyDescent="0.25">
      <c r="AB853" s="258" t="str">
        <f t="shared" si="23"/>
        <v/>
      </c>
      <c r="AC853" s="259" t="str">
        <f>IF(COUNTIF(AD$78:AD853,AD853)=1,MAX(AC$78:AC852)+1,"")</f>
        <v/>
      </c>
      <c r="AD853" s="220">
        <f>'[2]Изложницы без бурта'!B853</f>
        <v>285</v>
      </c>
      <c r="AE853" s="220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651</v>
      </c>
      <c r="AM853" s="56">
        <f>'[2]Изложницы без бурта'!K853</f>
        <v>0</v>
      </c>
    </row>
    <row r="854" spans="28:39" x14ac:dyDescent="0.25">
      <c r="AB854" s="258" t="str">
        <f t="shared" si="23"/>
        <v/>
      </c>
      <c r="AC854" s="259" t="str">
        <f>IF(COUNTIF(AD$78:AD854,AD854)=1,MAX(AC$78:AC853)+1,"")</f>
        <v/>
      </c>
      <c r="AD854" s="220">
        <f>'[2]Изложницы без бурта'!B854</f>
        <v>285</v>
      </c>
      <c r="AE854" s="220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651</v>
      </c>
      <c r="AM854" s="56">
        <f>'[2]Изложницы без бурта'!K854</f>
        <v>0</v>
      </c>
    </row>
    <row r="855" spans="28:39" x14ac:dyDescent="0.25">
      <c r="AB855" s="258" t="str">
        <f t="shared" si="23"/>
        <v/>
      </c>
      <c r="AC855" s="259" t="str">
        <f>IF(COUNTIF(AD$78:AD855,AD855)=1,MAX(AC$78:AC854)+1,"")</f>
        <v/>
      </c>
      <c r="AD855" s="220">
        <f>'[2]Изложницы без бурта'!B855</f>
        <v>285</v>
      </c>
      <c r="AE855" s="220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651</v>
      </c>
      <c r="AM855" s="56">
        <f>'[2]Изложницы без бурта'!K855</f>
        <v>0</v>
      </c>
    </row>
    <row r="856" spans="28:39" x14ac:dyDescent="0.25">
      <c r="AB856" s="258" t="str">
        <f t="shared" si="23"/>
        <v/>
      </c>
      <c r="AC856" s="259" t="str">
        <f>IF(COUNTIF(AD$78:AD856,AD856)=1,MAX(AC$78:AC855)+1,"")</f>
        <v/>
      </c>
      <c r="AD856" s="220">
        <f>'[2]Изложницы без бурта'!B856</f>
        <v>285</v>
      </c>
      <c r="AE856" s="220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651</v>
      </c>
      <c r="AM856" s="56">
        <f>'[2]Изложницы без бурта'!K856</f>
        <v>0</v>
      </c>
    </row>
    <row r="857" spans="28:39" x14ac:dyDescent="0.25">
      <c r="AB857" s="258" t="str">
        <f t="shared" si="23"/>
        <v/>
      </c>
      <c r="AC857" s="259" t="str">
        <f>IF(COUNTIF(AD$78:AD857,AD857)=1,MAX(AC$78:AC856)+1,"")</f>
        <v/>
      </c>
      <c r="AD857" s="220">
        <f>'[2]Изложницы без бурта'!B857</f>
        <v>285</v>
      </c>
      <c r="AE857" s="220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651</v>
      </c>
      <c r="AM857" s="56">
        <f>'[2]Изложницы без бурта'!K857</f>
        <v>0</v>
      </c>
    </row>
    <row r="858" spans="28:39" x14ac:dyDescent="0.25">
      <c r="AB858" s="258" t="str">
        <f t="shared" si="23"/>
        <v/>
      </c>
      <c r="AC858" s="259" t="str">
        <f>IF(COUNTIF(AD$78:AD858,AD858)=1,MAX(AC$78:AC857)+1,"")</f>
        <v/>
      </c>
      <c r="AD858" s="220">
        <f>'[2]Изложницы без бурта'!B858</f>
        <v>285</v>
      </c>
      <c r="AE858" s="220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651</v>
      </c>
      <c r="AM858" s="56">
        <f>'[2]Изложницы без бурта'!K858</f>
        <v>0</v>
      </c>
    </row>
    <row r="859" spans="28:39" x14ac:dyDescent="0.25">
      <c r="AB859" s="258" t="str">
        <f t="shared" si="23"/>
        <v/>
      </c>
      <c r="AC859" s="259" t="str">
        <f>IF(COUNTIF(AD$78:AD859,AD859)=1,MAX(AC$78:AC858)+1,"")</f>
        <v/>
      </c>
      <c r="AD859" s="220">
        <f>'[2]Изложницы без бурта'!B859</f>
        <v>285</v>
      </c>
      <c r="AE859" s="220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651</v>
      </c>
      <c r="AM859" s="56">
        <f>'[2]Изложницы без бурта'!K859</f>
        <v>0</v>
      </c>
    </row>
    <row r="860" spans="28:39" x14ac:dyDescent="0.25">
      <c r="AB860" s="258" t="str">
        <f t="shared" si="23"/>
        <v/>
      </c>
      <c r="AC860" s="259" t="str">
        <f>IF(COUNTIF(AD$78:AD860,AD860)=1,MAX(AC$78:AC859)+1,"")</f>
        <v/>
      </c>
      <c r="AD860" s="220">
        <f>'[2]Изложницы без бурта'!B860</f>
        <v>285</v>
      </c>
      <c r="AE860" s="220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651</v>
      </c>
      <c r="AM860" s="56">
        <f>'[2]Изложницы без бурта'!K860</f>
        <v>0</v>
      </c>
    </row>
    <row r="861" spans="28:39" x14ac:dyDescent="0.25">
      <c r="AB861" s="258" t="str">
        <f t="shared" si="23"/>
        <v/>
      </c>
      <c r="AC861" s="259">
        <f>IF(COUNTIF(AD$78:AD861,AD861)=1,MAX(AC$78:AC860)+1,"")</f>
        <v>79</v>
      </c>
      <c r="AD861" s="220">
        <f>'[2]Изложницы без бурта'!B861</f>
        <v>287.5</v>
      </c>
      <c r="AE861" s="220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651</v>
      </c>
      <c r="AM861" s="56">
        <f>'[2]Изложницы без бурта'!K861</f>
        <v>0</v>
      </c>
    </row>
    <row r="862" spans="28:39" x14ac:dyDescent="0.25">
      <c r="AB862" s="258" t="str">
        <f t="shared" si="23"/>
        <v/>
      </c>
      <c r="AC862" s="259" t="str">
        <f>IF(COUNTIF(AD$78:AD862,AD862)=1,MAX(AC$78:AC861)+1,"")</f>
        <v/>
      </c>
      <c r="AD862" s="220">
        <f>'[2]Изложницы без бурта'!B862</f>
        <v>287.5</v>
      </c>
      <c r="AE862" s="220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651</v>
      </c>
      <c r="AM862" s="56">
        <f>'[2]Изложницы без бурта'!K862</f>
        <v>0</v>
      </c>
    </row>
    <row r="863" spans="28:39" x14ac:dyDescent="0.25">
      <c r="AB863" s="258" t="str">
        <f t="shared" si="23"/>
        <v/>
      </c>
      <c r="AC863" s="259" t="str">
        <f>IF(COUNTIF(AD$78:AD863,AD863)=1,MAX(AC$78:AC862)+1,"")</f>
        <v/>
      </c>
      <c r="AD863" s="220">
        <f>'[2]Изложницы без бурта'!B863</f>
        <v>287.5</v>
      </c>
      <c r="AE863" s="220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651</v>
      </c>
      <c r="AM863" s="56">
        <f>'[2]Изложницы без бурта'!K863</f>
        <v>0</v>
      </c>
    </row>
    <row r="864" spans="28:39" x14ac:dyDescent="0.25">
      <c r="AB864" s="258" t="str">
        <f t="shared" si="23"/>
        <v/>
      </c>
      <c r="AC864" s="259" t="str">
        <f>IF(COUNTIF(AD$78:AD864,AD864)=1,MAX(AC$78:AC863)+1,"")</f>
        <v/>
      </c>
      <c r="AD864" s="220">
        <f>'[2]Изложницы без бурта'!B864</f>
        <v>287.5</v>
      </c>
      <c r="AE864" s="220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652</v>
      </c>
      <c r="AM864" s="56">
        <f>'[2]Изложницы без бурта'!K864</f>
        <v>0</v>
      </c>
    </row>
    <row r="865" spans="28:39" x14ac:dyDescent="0.25">
      <c r="AB865" s="258" t="str">
        <f t="shared" si="23"/>
        <v/>
      </c>
      <c r="AC865" s="259" t="str">
        <f>IF(COUNTIF(AD$78:AD865,AD865)=1,MAX(AC$78:AC864)+1,"")</f>
        <v/>
      </c>
      <c r="AD865" s="220">
        <f>'[2]Изложницы без бурта'!B865</f>
        <v>287.5</v>
      </c>
      <c r="AE865" s="220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652</v>
      </c>
      <c r="AM865" s="56">
        <f>'[2]Изложницы без бурта'!K865</f>
        <v>0</v>
      </c>
    </row>
    <row r="866" spans="28:39" x14ac:dyDescent="0.25">
      <c r="AB866" s="258" t="str">
        <f t="shared" si="23"/>
        <v/>
      </c>
      <c r="AC866" s="259" t="str">
        <f>IF(COUNTIF(AD$78:AD866,AD866)=1,MAX(AC$78:AC865)+1,"")</f>
        <v/>
      </c>
      <c r="AD866" s="220">
        <f>'[2]Изложницы без бурта'!B866</f>
        <v>287.5</v>
      </c>
      <c r="AE866" s="220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652</v>
      </c>
      <c r="AM866" s="56">
        <f>'[2]Изложницы без бурта'!K866</f>
        <v>0</v>
      </c>
    </row>
    <row r="867" spans="28:39" x14ac:dyDescent="0.25">
      <c r="AB867" s="258" t="str">
        <f t="shared" si="23"/>
        <v/>
      </c>
      <c r="AC867" s="259" t="str">
        <f>IF(COUNTIF(AD$78:AD867,AD867)=1,MAX(AC$78:AC866)+1,"")</f>
        <v/>
      </c>
      <c r="AD867" s="220">
        <f>'[2]Изложницы без бурта'!B867</f>
        <v>287.5</v>
      </c>
      <c r="AE867" s="220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652</v>
      </c>
      <c r="AM867" s="56">
        <f>'[2]Изложницы без бурта'!K867</f>
        <v>0</v>
      </c>
    </row>
    <row r="868" spans="28:39" x14ac:dyDescent="0.25">
      <c r="AB868" s="258" t="str">
        <f t="shared" si="23"/>
        <v/>
      </c>
      <c r="AC868" s="259" t="str">
        <f>IF(COUNTIF(AD$78:AD868,AD868)=1,MAX(AC$78:AC867)+1,"")</f>
        <v/>
      </c>
      <c r="AD868" s="220">
        <f>'[2]Изложницы без бурта'!B868</f>
        <v>287.5</v>
      </c>
      <c r="AE868" s="220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652</v>
      </c>
      <c r="AM868" s="56">
        <f>'[2]Изложницы без бурта'!K868</f>
        <v>0</v>
      </c>
    </row>
    <row r="869" spans="28:39" x14ac:dyDescent="0.25">
      <c r="AB869" s="258" t="str">
        <f t="shared" si="23"/>
        <v/>
      </c>
      <c r="AC869" s="259" t="str">
        <f>IF(COUNTIF(AD$78:AD869,AD869)=1,MAX(AC$78:AC868)+1,"")</f>
        <v/>
      </c>
      <c r="AD869" s="220">
        <f>'[2]Изложницы без бурта'!B869</f>
        <v>287.5</v>
      </c>
      <c r="AE869" s="220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652</v>
      </c>
      <c r="AM869" s="56">
        <f>'[2]Изложницы без бурта'!K869</f>
        <v>0</v>
      </c>
    </row>
    <row r="870" spans="28:39" x14ac:dyDescent="0.25">
      <c r="AB870" s="258" t="str">
        <f t="shared" si="23"/>
        <v/>
      </c>
      <c r="AC870" s="259" t="str">
        <f>IF(COUNTIF(AD$78:AD870,AD870)=1,MAX(AC$78:AC869)+1,"")</f>
        <v/>
      </c>
      <c r="AD870" s="220">
        <f>'[2]Изложницы без бурта'!B870</f>
        <v>287.5</v>
      </c>
      <c r="AE870" s="220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652</v>
      </c>
      <c r="AM870" s="56">
        <f>'[2]Изложницы без бурта'!K870</f>
        <v>0</v>
      </c>
    </row>
    <row r="871" spans="28:39" x14ac:dyDescent="0.25">
      <c r="AB871" s="258" t="str">
        <f t="shared" si="23"/>
        <v/>
      </c>
      <c r="AC871" s="259">
        <f>IF(COUNTIF(AD$78:AD871,AD871)=1,MAX(AC$78:AC870)+1,"")</f>
        <v>80</v>
      </c>
      <c r="AD871" s="220">
        <f>'[2]Изложницы без бурта'!B871</f>
        <v>290</v>
      </c>
      <c r="AE871" s="220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652</v>
      </c>
      <c r="AM871" s="56">
        <f>'[2]Изложницы без бурта'!K871</f>
        <v>0</v>
      </c>
    </row>
    <row r="872" spans="28:39" x14ac:dyDescent="0.25">
      <c r="AB872" s="258" t="str">
        <f t="shared" si="23"/>
        <v/>
      </c>
      <c r="AC872" s="259" t="str">
        <f>IF(COUNTIF(AD$78:AD872,AD872)=1,MAX(AC$78:AC871)+1,"")</f>
        <v/>
      </c>
      <c r="AD872" s="220">
        <f>'[2]Изложницы без бурта'!B872</f>
        <v>290</v>
      </c>
      <c r="AE872" s="220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652</v>
      </c>
      <c r="AM872" s="56">
        <f>'[2]Изложницы без бурта'!K872</f>
        <v>0</v>
      </c>
    </row>
    <row r="873" spans="28:39" x14ac:dyDescent="0.25">
      <c r="AB873" s="258" t="str">
        <f t="shared" si="23"/>
        <v/>
      </c>
      <c r="AC873" s="259" t="str">
        <f>IF(COUNTIF(AD$78:AD873,AD873)=1,MAX(AC$78:AC872)+1,"")</f>
        <v/>
      </c>
      <c r="AD873" s="220">
        <f>'[2]Изложницы без бурта'!B873</f>
        <v>290</v>
      </c>
      <c r="AE873" s="220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652</v>
      </c>
      <c r="AM873" s="56">
        <f>'[2]Изложницы без бурта'!K873</f>
        <v>0</v>
      </c>
    </row>
    <row r="874" spans="28:39" x14ac:dyDescent="0.25">
      <c r="AB874" s="258" t="str">
        <f t="shared" si="23"/>
        <v/>
      </c>
      <c r="AC874" s="259" t="str">
        <f>IF(COUNTIF(AD$78:AD874,AD874)=1,MAX(AC$78:AC873)+1,"")</f>
        <v/>
      </c>
      <c r="AD874" s="220">
        <f>'[2]Изложницы без бурта'!B874</f>
        <v>290</v>
      </c>
      <c r="AE874" s="220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653</v>
      </c>
      <c r="AM874" s="56">
        <f>'[2]Изложницы без бурта'!K874</f>
        <v>0</v>
      </c>
    </row>
    <row r="875" spans="28:39" x14ac:dyDescent="0.25">
      <c r="AB875" s="258" t="str">
        <f t="shared" si="23"/>
        <v/>
      </c>
      <c r="AC875" s="259" t="str">
        <f>IF(COUNTIF(AD$78:AD875,AD875)=1,MAX(AC$78:AC874)+1,"")</f>
        <v/>
      </c>
      <c r="AD875" s="220">
        <f>'[2]Изложницы без бурта'!B875</f>
        <v>290</v>
      </c>
      <c r="AE875" s="220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653</v>
      </c>
      <c r="AM875" s="56">
        <f>'[2]Изложницы без бурта'!K875</f>
        <v>0</v>
      </c>
    </row>
    <row r="876" spans="28:39" x14ac:dyDescent="0.25">
      <c r="AB876" s="258" t="str">
        <f t="shared" si="23"/>
        <v/>
      </c>
      <c r="AC876" s="259" t="str">
        <f>IF(COUNTIF(AD$78:AD876,AD876)=1,MAX(AC$78:AC875)+1,"")</f>
        <v/>
      </c>
      <c r="AD876" s="220">
        <f>'[2]Изложницы без бурта'!B876</f>
        <v>290</v>
      </c>
      <c r="AE876" s="220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653</v>
      </c>
      <c r="AM876" s="56">
        <f>'[2]Изложницы без бурта'!K876</f>
        <v>0</v>
      </c>
    </row>
    <row r="877" spans="28:39" x14ac:dyDescent="0.25">
      <c r="AB877" s="258" t="str">
        <f t="shared" si="23"/>
        <v/>
      </c>
      <c r="AC877" s="259" t="str">
        <f>IF(COUNTIF(AD$78:AD877,AD877)=1,MAX(AC$78:AC876)+1,"")</f>
        <v/>
      </c>
      <c r="AD877" s="220">
        <f>'[2]Изложницы без бурта'!B877</f>
        <v>290</v>
      </c>
      <c r="AE877" s="220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653</v>
      </c>
      <c r="AM877" s="56">
        <f>'[2]Изложницы без бурта'!K877</f>
        <v>0</v>
      </c>
    </row>
    <row r="878" spans="28:39" x14ac:dyDescent="0.25">
      <c r="AB878" s="258" t="str">
        <f t="shared" si="23"/>
        <v/>
      </c>
      <c r="AC878" s="259" t="str">
        <f>IF(COUNTIF(AD$78:AD878,AD878)=1,MAX(AC$78:AC877)+1,"")</f>
        <v/>
      </c>
      <c r="AD878" s="220">
        <f>'[2]Изложницы без бурта'!B878</f>
        <v>290</v>
      </c>
      <c r="AE878" s="220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653</v>
      </c>
      <c r="AM878" s="56">
        <f>'[2]Изложницы без бурта'!K878</f>
        <v>0</v>
      </c>
    </row>
    <row r="879" spans="28:39" x14ac:dyDescent="0.25">
      <c r="AB879" s="258" t="str">
        <f t="shared" si="23"/>
        <v/>
      </c>
      <c r="AC879" s="259" t="str">
        <f>IF(COUNTIF(AD$78:AD879,AD879)=1,MAX(AC$78:AC878)+1,"")</f>
        <v/>
      </c>
      <c r="AD879" s="220">
        <f>'[2]Изложницы без бурта'!B879</f>
        <v>290</v>
      </c>
      <c r="AE879" s="220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653</v>
      </c>
      <c r="AM879" s="56">
        <f>'[2]Изложницы без бурта'!K879</f>
        <v>0</v>
      </c>
    </row>
    <row r="880" spans="28:39" x14ac:dyDescent="0.25">
      <c r="AB880" s="258" t="str">
        <f t="shared" si="23"/>
        <v/>
      </c>
      <c r="AC880" s="259" t="str">
        <f>IF(COUNTIF(AD$78:AD880,AD880)=1,MAX(AC$78:AC879)+1,"")</f>
        <v/>
      </c>
      <c r="AD880" s="220">
        <f>'[2]Изложницы без бурта'!B880</f>
        <v>290</v>
      </c>
      <c r="AE880" s="220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653</v>
      </c>
      <c r="AM880" s="56">
        <f>'[2]Изложницы без бурта'!K880</f>
        <v>0</v>
      </c>
    </row>
    <row r="881" spans="28:39" x14ac:dyDescent="0.25">
      <c r="AB881" s="258" t="str">
        <f t="shared" si="23"/>
        <v/>
      </c>
      <c r="AC881" s="259">
        <f>IF(COUNTIF(AD$78:AD881,AD881)=1,MAX(AC$78:AC880)+1,"")</f>
        <v>81</v>
      </c>
      <c r="AD881" s="220">
        <f>'[2]Изложницы без бурта'!B881</f>
        <v>292.5</v>
      </c>
      <c r="AE881" s="220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653</v>
      </c>
      <c r="AM881" s="56">
        <f>'[2]Изложницы без бурта'!K881</f>
        <v>0</v>
      </c>
    </row>
    <row r="882" spans="28:39" x14ac:dyDescent="0.25">
      <c r="AB882" s="258" t="str">
        <f t="shared" si="23"/>
        <v/>
      </c>
      <c r="AC882" s="259" t="str">
        <f>IF(COUNTIF(AD$78:AD882,AD882)=1,MAX(AC$78:AC881)+1,"")</f>
        <v/>
      </c>
      <c r="AD882" s="220">
        <f>'[2]Изложницы без бурта'!B882</f>
        <v>292.5</v>
      </c>
      <c r="AE882" s="220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653</v>
      </c>
      <c r="AM882" s="56">
        <f>'[2]Изложницы без бурта'!K882</f>
        <v>0</v>
      </c>
    </row>
    <row r="883" spans="28:39" x14ac:dyDescent="0.25">
      <c r="AB883" s="258" t="str">
        <f t="shared" si="23"/>
        <v/>
      </c>
      <c r="AC883" s="259">
        <f>IF(COUNTIF(AD$78:AD883,AD883)=1,MAX(AC$78:AC882)+1,"")</f>
        <v>82</v>
      </c>
      <c r="AD883" s="220">
        <f>'[2]Изложницы без бурта'!B883</f>
        <v>295</v>
      </c>
      <c r="AE883" s="220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653</v>
      </c>
      <c r="AM883" s="56">
        <f>'[2]Изложницы без бурта'!K883</f>
        <v>0</v>
      </c>
    </row>
    <row r="884" spans="28:39" x14ac:dyDescent="0.25">
      <c r="AB884" s="258" t="str">
        <f t="shared" si="23"/>
        <v/>
      </c>
      <c r="AC884" s="259" t="str">
        <f>IF(COUNTIF(AD$78:AD884,AD884)=1,MAX(AC$78:AC883)+1,"")</f>
        <v/>
      </c>
      <c r="AD884" s="220">
        <f>'[2]Изложницы без бурта'!B884</f>
        <v>295</v>
      </c>
      <c r="AE884" s="220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654</v>
      </c>
      <c r="AM884" s="56">
        <f>'[2]Изложницы без бурта'!K884</f>
        <v>0</v>
      </c>
    </row>
    <row r="885" spans="28:39" x14ac:dyDescent="0.25">
      <c r="AB885" s="258" t="str">
        <f t="shared" si="23"/>
        <v/>
      </c>
      <c r="AC885" s="259" t="str">
        <f>IF(COUNTIF(AD$78:AD885,AD885)=1,MAX(AC$78:AC884)+1,"")</f>
        <v/>
      </c>
      <c r="AD885" s="220">
        <f>'[2]Изложницы без бурта'!B885</f>
        <v>295</v>
      </c>
      <c r="AE885" s="220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654</v>
      </c>
      <c r="AM885" s="56">
        <f>'[2]Изложницы без бурта'!K885</f>
        <v>0</v>
      </c>
    </row>
    <row r="886" spans="28:39" x14ac:dyDescent="0.25">
      <c r="AB886" s="258" t="str">
        <f t="shared" si="23"/>
        <v/>
      </c>
      <c r="AC886" s="259" t="str">
        <f>IF(COUNTIF(AD$78:AD886,AD886)=1,MAX(AC$78:AC885)+1,"")</f>
        <v/>
      </c>
      <c r="AD886" s="220">
        <f>'[2]Изложницы без бурта'!B886</f>
        <v>295</v>
      </c>
      <c r="AE886" s="220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655</v>
      </c>
      <c r="AM886" s="56">
        <f>'[2]Изложницы без бурта'!K886</f>
        <v>0</v>
      </c>
    </row>
    <row r="887" spans="28:39" x14ac:dyDescent="0.25">
      <c r="AB887" s="258" t="str">
        <f t="shared" si="23"/>
        <v/>
      </c>
      <c r="AC887" s="259" t="str">
        <f>IF(COUNTIF(AD$78:AD887,AD887)=1,MAX(AC$78:AC886)+1,"")</f>
        <v/>
      </c>
      <c r="AD887" s="220">
        <f>'[2]Изложницы без бурта'!B887</f>
        <v>295</v>
      </c>
      <c r="AE887" s="220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655</v>
      </c>
      <c r="AM887" s="56">
        <f>'[2]Изложницы без бурта'!K887</f>
        <v>0</v>
      </c>
    </row>
    <row r="888" spans="28:39" x14ac:dyDescent="0.25">
      <c r="AB888" s="258" t="str">
        <f t="shared" si="23"/>
        <v/>
      </c>
      <c r="AC888" s="259" t="str">
        <f>IF(COUNTIF(AD$78:AD888,AD888)=1,MAX(AC$78:AC887)+1,"")</f>
        <v/>
      </c>
      <c r="AD888" s="220">
        <f>'[2]Изложницы без бурта'!B888</f>
        <v>295</v>
      </c>
      <c r="AE888" s="220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655</v>
      </c>
      <c r="AM888" s="56">
        <f>'[2]Изложницы без бурта'!K888</f>
        <v>0</v>
      </c>
    </row>
    <row r="889" spans="28:39" x14ac:dyDescent="0.25">
      <c r="AB889" s="258" t="str">
        <f t="shared" ref="AB889:AB952" si="24">IF(MAX(AC889:AC1966)&lt;ROW(811:811),"",VLOOKUP(ROW(811:811),AC889:AD1966,2))</f>
        <v/>
      </c>
      <c r="AC889" s="259" t="str">
        <f>IF(COUNTIF(AD$78:AD889,AD889)=1,MAX(AC$78:AC888)+1,"")</f>
        <v/>
      </c>
      <c r="AD889" s="220">
        <f>'[2]Изложницы без бурта'!B889</f>
        <v>295</v>
      </c>
      <c r="AE889" s="220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655</v>
      </c>
      <c r="AM889" s="56">
        <f>'[2]Изложницы без бурта'!K889</f>
        <v>0</v>
      </c>
    </row>
    <row r="890" spans="28:39" x14ac:dyDescent="0.25">
      <c r="AB890" s="258" t="str">
        <f t="shared" si="24"/>
        <v/>
      </c>
      <c r="AC890" s="259" t="str">
        <f>IF(COUNTIF(AD$78:AD890,AD890)=1,MAX(AC$78:AC889)+1,"")</f>
        <v/>
      </c>
      <c r="AD890" s="220">
        <f>'[2]Изложницы без бурта'!B890</f>
        <v>295</v>
      </c>
      <c r="AE890" s="220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655</v>
      </c>
      <c r="AM890" s="56">
        <f>'[2]Изложницы без бурта'!K890</f>
        <v>0</v>
      </c>
    </row>
    <row r="891" spans="28:39" x14ac:dyDescent="0.25">
      <c r="AB891" s="258" t="str">
        <f t="shared" si="24"/>
        <v/>
      </c>
      <c r="AC891" s="259" t="str">
        <f>IF(COUNTIF(AD$78:AD891,AD891)=1,MAX(AC$78:AC890)+1,"")</f>
        <v/>
      </c>
      <c r="AD891" s="220">
        <f>'[2]Изложницы без бурта'!B891</f>
        <v>295</v>
      </c>
      <c r="AE891" s="220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655</v>
      </c>
      <c r="AM891" s="56">
        <f>'[2]Изложницы без бурта'!K891</f>
        <v>0</v>
      </c>
    </row>
    <row r="892" spans="28:39" x14ac:dyDescent="0.25">
      <c r="AB892" s="258" t="str">
        <f t="shared" si="24"/>
        <v/>
      </c>
      <c r="AC892" s="259">
        <f>IF(COUNTIF(AD$78:AD892,AD892)=1,MAX(AC$78:AC891)+1,"")</f>
        <v>83</v>
      </c>
      <c r="AD892" s="220">
        <f>'[2]Изложницы без бурта'!B892</f>
        <v>297.5</v>
      </c>
      <c r="AE892" s="220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655</v>
      </c>
      <c r="AM892" s="56">
        <f>'[2]Изложницы без бурта'!K892</f>
        <v>0</v>
      </c>
    </row>
    <row r="893" spans="28:39" x14ac:dyDescent="0.25">
      <c r="AB893" s="258" t="str">
        <f t="shared" si="24"/>
        <v/>
      </c>
      <c r="AC893" s="259" t="str">
        <f>IF(COUNTIF(AD$78:AD893,AD893)=1,MAX(AC$78:AC892)+1,"")</f>
        <v/>
      </c>
      <c r="AD893" s="220">
        <f>'[2]Изложницы без бурта'!B893</f>
        <v>297.5</v>
      </c>
      <c r="AE893" s="220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655</v>
      </c>
      <c r="AM893" s="56">
        <f>'[2]Изложницы без бурта'!K893</f>
        <v>0</v>
      </c>
    </row>
    <row r="894" spans="28:39" x14ac:dyDescent="0.25">
      <c r="AB894" s="258" t="str">
        <f t="shared" si="24"/>
        <v/>
      </c>
      <c r="AC894" s="259" t="str">
        <f>IF(COUNTIF(AD$78:AD894,AD894)=1,MAX(AC$78:AC893)+1,"")</f>
        <v/>
      </c>
      <c r="AD894" s="220">
        <f>'[2]Изложницы без бурта'!B894</f>
        <v>297.5</v>
      </c>
      <c r="AE894" s="220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655</v>
      </c>
      <c r="AM894" s="56">
        <f>'[2]Изложницы без бурта'!K894</f>
        <v>0</v>
      </c>
    </row>
    <row r="895" spans="28:39" x14ac:dyDescent="0.25">
      <c r="AB895" s="258" t="str">
        <f t="shared" si="24"/>
        <v/>
      </c>
      <c r="AC895" s="259" t="str">
        <f>IF(COUNTIF(AD$78:AD895,AD895)=1,MAX(AC$78:AC894)+1,"")</f>
        <v/>
      </c>
      <c r="AD895" s="220">
        <f>'[2]Изложницы без бурта'!B895</f>
        <v>297.5</v>
      </c>
      <c r="AE895" s="220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656</v>
      </c>
      <c r="AM895" s="56">
        <f>'[2]Изложницы без бурта'!K895</f>
        <v>0</v>
      </c>
    </row>
    <row r="896" spans="28:39" x14ac:dyDescent="0.25">
      <c r="AB896" s="258" t="str">
        <f t="shared" si="24"/>
        <v/>
      </c>
      <c r="AC896" s="259">
        <f>IF(COUNTIF(AD$78:AD896,AD896)=1,MAX(AC$78:AC895)+1,"")</f>
        <v>84</v>
      </c>
      <c r="AD896" s="220">
        <f>'[2]Изложницы без бурта'!B896</f>
        <v>300</v>
      </c>
      <c r="AE896" s="220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656</v>
      </c>
      <c r="AM896" s="56">
        <f>'[2]Изложницы без бурта'!K896</f>
        <v>0</v>
      </c>
    </row>
    <row r="897" spans="28:39" x14ac:dyDescent="0.25">
      <c r="AB897" s="258" t="str">
        <f t="shared" si="24"/>
        <v/>
      </c>
      <c r="AC897" s="259" t="str">
        <f>IF(COUNTIF(AD$78:AD897,AD897)=1,MAX(AC$78:AC896)+1,"")</f>
        <v/>
      </c>
      <c r="AD897" s="220">
        <f>'[2]Изложницы без бурта'!B897</f>
        <v>300</v>
      </c>
      <c r="AE897" s="220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656</v>
      </c>
      <c r="AM897" s="56">
        <f>'[2]Изложницы без бурта'!K897</f>
        <v>0</v>
      </c>
    </row>
    <row r="898" spans="28:39" x14ac:dyDescent="0.25">
      <c r="AB898" s="258" t="str">
        <f t="shared" si="24"/>
        <v/>
      </c>
      <c r="AC898" s="259" t="str">
        <f>IF(COUNTIF(AD$78:AD898,AD898)=1,MAX(AC$78:AC897)+1,"")</f>
        <v/>
      </c>
      <c r="AD898" s="220">
        <f>'[2]Изложницы без бурта'!B898</f>
        <v>300</v>
      </c>
      <c r="AE898" s="220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656</v>
      </c>
      <c r="AM898" s="56">
        <f>'[2]Изложницы без бурта'!K898</f>
        <v>0</v>
      </c>
    </row>
    <row r="899" spans="28:39" x14ac:dyDescent="0.25">
      <c r="AB899" s="258" t="str">
        <f t="shared" si="24"/>
        <v/>
      </c>
      <c r="AC899" s="259" t="str">
        <f>IF(COUNTIF(AD$78:AD899,AD899)=1,MAX(AC$78:AC898)+1,"")</f>
        <v/>
      </c>
      <c r="AD899" s="220">
        <f>'[2]Изложницы без бурта'!B899</f>
        <v>300</v>
      </c>
      <c r="AE899" s="220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657</v>
      </c>
      <c r="AM899" s="56">
        <f>'[2]Изложницы без бурта'!K899</f>
        <v>0</v>
      </c>
    </row>
    <row r="900" spans="28:39" x14ac:dyDescent="0.25">
      <c r="AB900" s="258" t="str">
        <f t="shared" si="24"/>
        <v/>
      </c>
      <c r="AC900" s="259" t="str">
        <f>IF(COUNTIF(AD$78:AD900,AD900)=1,MAX(AC$78:AC899)+1,"")</f>
        <v/>
      </c>
      <c r="AD900" s="220">
        <f>'[2]Изложницы без бурта'!B900</f>
        <v>300</v>
      </c>
      <c r="AE900" s="220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657</v>
      </c>
      <c r="AM900" s="56">
        <f>'[2]Изложницы без бурта'!K900</f>
        <v>0</v>
      </c>
    </row>
    <row r="901" spans="28:39" x14ac:dyDescent="0.25">
      <c r="AB901" s="258" t="str">
        <f t="shared" si="24"/>
        <v/>
      </c>
      <c r="AC901" s="259" t="str">
        <f>IF(COUNTIF(AD$78:AD901,AD901)=1,MAX(AC$78:AC900)+1,"")</f>
        <v/>
      </c>
      <c r="AD901" s="220">
        <f>'[2]Изложницы без бурта'!B901</f>
        <v>300</v>
      </c>
      <c r="AE901" s="220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657</v>
      </c>
      <c r="AM901" s="56">
        <f>'[2]Изложницы без бурта'!K901</f>
        <v>0</v>
      </c>
    </row>
    <row r="902" spans="28:39" x14ac:dyDescent="0.25">
      <c r="AB902" s="258" t="str">
        <f t="shared" si="24"/>
        <v/>
      </c>
      <c r="AC902" s="259" t="str">
        <f>IF(COUNTIF(AD$78:AD902,AD902)=1,MAX(AC$78:AC901)+1,"")</f>
        <v/>
      </c>
      <c r="AD902" s="220">
        <f>'[2]Изложницы без бурта'!B902</f>
        <v>300</v>
      </c>
      <c r="AE902" s="220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657</v>
      </c>
      <c r="AM902" s="56">
        <f>'[2]Изложницы без бурта'!K902</f>
        <v>0</v>
      </c>
    </row>
    <row r="903" spans="28:39" x14ac:dyDescent="0.25">
      <c r="AB903" s="258" t="str">
        <f t="shared" si="24"/>
        <v/>
      </c>
      <c r="AC903" s="259" t="str">
        <f>IF(COUNTIF(AD$78:AD903,AD903)=1,MAX(AC$78:AC902)+1,"")</f>
        <v/>
      </c>
      <c r="AD903" s="220">
        <f>'[2]Изложницы без бурта'!B903</f>
        <v>300</v>
      </c>
      <c r="AE903" s="220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657</v>
      </c>
      <c r="AM903" s="56">
        <f>'[2]Изложницы без бурта'!K903</f>
        <v>0</v>
      </c>
    </row>
    <row r="904" spans="28:39" x14ac:dyDescent="0.25">
      <c r="AB904" s="258" t="str">
        <f t="shared" si="24"/>
        <v/>
      </c>
      <c r="AC904" s="259" t="str">
        <f>IF(COUNTIF(AD$78:AD904,AD904)=1,MAX(AC$78:AC903)+1,"")</f>
        <v/>
      </c>
      <c r="AD904" s="220">
        <f>'[2]Изложницы без бурта'!B904</f>
        <v>300</v>
      </c>
      <c r="AE904" s="220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657</v>
      </c>
      <c r="AM904" s="56">
        <f>'[2]Изложницы без бурта'!K904</f>
        <v>0</v>
      </c>
    </row>
    <row r="905" spans="28:39" x14ac:dyDescent="0.25">
      <c r="AB905" s="258" t="str">
        <f t="shared" si="24"/>
        <v/>
      </c>
      <c r="AC905" s="259" t="str">
        <f>IF(COUNTIF(AD$78:AD905,AD905)=1,MAX(AC$78:AC904)+1,"")</f>
        <v/>
      </c>
      <c r="AD905" s="220">
        <f>'[2]Изложницы без бурта'!B905</f>
        <v>300</v>
      </c>
      <c r="AE905" s="220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657</v>
      </c>
      <c r="AM905" s="56">
        <f>'[2]Изложницы без бурта'!K905</f>
        <v>0</v>
      </c>
    </row>
    <row r="906" spans="28:39" x14ac:dyDescent="0.25">
      <c r="AB906" s="258" t="str">
        <f t="shared" si="24"/>
        <v/>
      </c>
      <c r="AC906" s="259" t="str">
        <f>IF(COUNTIF(AD$78:AD906,AD906)=1,MAX(AC$78:AC905)+1,"")</f>
        <v/>
      </c>
      <c r="AD906" s="220">
        <f>'[2]Изложницы без бурта'!B906</f>
        <v>300</v>
      </c>
      <c r="AE906" s="220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657</v>
      </c>
      <c r="AM906" s="56">
        <f>'[2]Изложницы без бурта'!K906</f>
        <v>0</v>
      </c>
    </row>
    <row r="907" spans="28:39" x14ac:dyDescent="0.25">
      <c r="AB907" s="258" t="str">
        <f t="shared" si="24"/>
        <v/>
      </c>
      <c r="AC907" s="259" t="str">
        <f>IF(COUNTIF(AD$78:AD907,AD907)=1,MAX(AC$78:AC906)+1,"")</f>
        <v/>
      </c>
      <c r="AD907" s="220">
        <f>'[2]Изложницы без бурта'!B907</f>
        <v>300</v>
      </c>
      <c r="AE907" s="220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657</v>
      </c>
      <c r="AM907" s="56">
        <f>'[2]Изложницы без бурта'!K907</f>
        <v>0</v>
      </c>
    </row>
    <row r="908" spans="28:39" x14ac:dyDescent="0.25">
      <c r="AB908" s="258" t="str">
        <f t="shared" si="24"/>
        <v/>
      </c>
      <c r="AC908" s="259" t="str">
        <f>IF(COUNTIF(AD$78:AD908,AD908)=1,MAX(AC$78:AC907)+1,"")</f>
        <v/>
      </c>
      <c r="AD908" s="220">
        <f>'[2]Изложницы без бурта'!B908</f>
        <v>300</v>
      </c>
      <c r="AE908" s="220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657</v>
      </c>
      <c r="AM908" s="56">
        <f>'[2]Изложницы без бурта'!K908</f>
        <v>0</v>
      </c>
    </row>
    <row r="909" spans="28:39" x14ac:dyDescent="0.25">
      <c r="AB909" s="258" t="str">
        <f t="shared" si="24"/>
        <v/>
      </c>
      <c r="AC909" s="259">
        <f>IF(COUNTIF(AD$78:AD909,AD909)=1,MAX(AC$78:AC908)+1,"")</f>
        <v>85</v>
      </c>
      <c r="AD909" s="220">
        <f>'[2]Изложницы без бурта'!B909</f>
        <v>302.5</v>
      </c>
      <c r="AE909" s="220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668</v>
      </c>
      <c r="AM909" s="56">
        <f>'[2]Изложницы без бурта'!K909</f>
        <v>0</v>
      </c>
    </row>
    <row r="910" spans="28:39" x14ac:dyDescent="0.25">
      <c r="AB910" s="258" t="str">
        <f t="shared" si="24"/>
        <v/>
      </c>
      <c r="AC910" s="259" t="str">
        <f>IF(COUNTIF(AD$78:AD910,AD910)=1,MAX(AC$78:AC909)+1,"")</f>
        <v/>
      </c>
      <c r="AD910" s="220">
        <f>'[2]Изложницы без бурта'!B910</f>
        <v>302.5</v>
      </c>
      <c r="AE910" s="220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668</v>
      </c>
      <c r="AM910" s="56">
        <f>'[2]Изложницы без бурта'!K910</f>
        <v>0</v>
      </c>
    </row>
    <row r="911" spans="28:39" x14ac:dyDescent="0.25">
      <c r="AB911" s="258" t="str">
        <f t="shared" si="24"/>
        <v/>
      </c>
      <c r="AC911" s="259" t="str">
        <f>IF(COUNTIF(AD$78:AD911,AD911)=1,MAX(AC$78:AC910)+1,"")</f>
        <v/>
      </c>
      <c r="AD911" s="220">
        <f>'[2]Изложницы без бурта'!B911</f>
        <v>302.5</v>
      </c>
      <c r="AE911" s="220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668</v>
      </c>
      <c r="AM911" s="56">
        <f>'[2]Изложницы без бурта'!K911</f>
        <v>0</v>
      </c>
    </row>
    <row r="912" spans="28:39" x14ac:dyDescent="0.25">
      <c r="AB912" s="258" t="str">
        <f t="shared" si="24"/>
        <v/>
      </c>
      <c r="AC912" s="259">
        <f>IF(COUNTIF(AD$78:AD912,AD912)=1,MAX(AC$78:AC911)+1,"")</f>
        <v>86</v>
      </c>
      <c r="AD912" s="220">
        <f>'[2]Изложницы без бурта'!B912</f>
        <v>305</v>
      </c>
      <c r="AE912" s="220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669</v>
      </c>
      <c r="AM912" s="56">
        <f>'[2]Изложницы без бурта'!K912</f>
        <v>0</v>
      </c>
    </row>
    <row r="913" spans="28:39" x14ac:dyDescent="0.25">
      <c r="AB913" s="258" t="str">
        <f t="shared" si="24"/>
        <v/>
      </c>
      <c r="AC913" s="259">
        <f>IF(COUNTIF(AD$78:AD913,AD913)=1,MAX(AC$78:AC912)+1,"")</f>
        <v>87</v>
      </c>
      <c r="AD913" s="220">
        <f>'[2]Изложницы без бурта'!B913</f>
        <v>307.5</v>
      </c>
      <c r="AE913" s="220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670</v>
      </c>
      <c r="AM913" s="56">
        <f>'[2]Изложницы без бурта'!K913</f>
        <v>0</v>
      </c>
    </row>
    <row r="914" spans="28:39" x14ac:dyDescent="0.25">
      <c r="AB914" s="258" t="str">
        <f t="shared" si="24"/>
        <v/>
      </c>
      <c r="AC914" s="259" t="str">
        <f>IF(COUNTIF(AD$78:AD914,AD914)=1,MAX(AC$78:AC913)+1,"")</f>
        <v/>
      </c>
      <c r="AD914" s="220">
        <f>'[2]Изложницы без бурта'!B914</f>
        <v>307.5</v>
      </c>
      <c r="AE914" s="220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670</v>
      </c>
      <c r="AM914" s="56">
        <f>'[2]Изложницы без бурта'!K914</f>
        <v>0</v>
      </c>
    </row>
    <row r="915" spans="28:39" x14ac:dyDescent="0.25">
      <c r="AB915" s="258" t="str">
        <f t="shared" si="24"/>
        <v/>
      </c>
      <c r="AC915" s="259" t="str">
        <f>IF(COUNTIF(AD$78:AD915,AD915)=1,MAX(AC$78:AC914)+1,"")</f>
        <v/>
      </c>
      <c r="AD915" s="220">
        <f>'[2]Изложницы без бурта'!B915</f>
        <v>307.5</v>
      </c>
      <c r="AE915" s="220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670</v>
      </c>
      <c r="AM915" s="56">
        <f>'[2]Изложницы без бурта'!K915</f>
        <v>0</v>
      </c>
    </row>
    <row r="916" spans="28:39" x14ac:dyDescent="0.25">
      <c r="AB916" s="258" t="str">
        <f t="shared" si="24"/>
        <v/>
      </c>
      <c r="AC916" s="259" t="str">
        <f>IF(COUNTIF(AD$78:AD916,AD916)=1,MAX(AC$78:AC915)+1,"")</f>
        <v/>
      </c>
      <c r="AD916" s="220">
        <f>'[2]Изложницы без бурта'!B916</f>
        <v>307.5</v>
      </c>
      <c r="AE916" s="220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670</v>
      </c>
      <c r="AM916" s="56">
        <f>'[2]Изложницы без бурта'!K916</f>
        <v>0</v>
      </c>
    </row>
    <row r="917" spans="28:39" x14ac:dyDescent="0.25">
      <c r="AB917" s="258" t="str">
        <f t="shared" si="24"/>
        <v/>
      </c>
      <c r="AC917" s="259" t="str">
        <f>IF(COUNTIF(AD$78:AD917,AD917)=1,MAX(AC$78:AC916)+1,"")</f>
        <v/>
      </c>
      <c r="AD917" s="220">
        <f>'[2]Изложницы без бурта'!B917</f>
        <v>307.5</v>
      </c>
      <c r="AE917" s="220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670</v>
      </c>
      <c r="AM917" s="56">
        <f>'[2]Изложницы без бурта'!K917</f>
        <v>0</v>
      </c>
    </row>
    <row r="918" spans="28:39" x14ac:dyDescent="0.25">
      <c r="AB918" s="258" t="str">
        <f t="shared" si="24"/>
        <v/>
      </c>
      <c r="AC918" s="259" t="str">
        <f>IF(COUNTIF(AD$78:AD918,AD918)=1,MAX(AC$78:AC917)+1,"")</f>
        <v/>
      </c>
      <c r="AD918" s="220">
        <f>'[2]Изложницы без бурта'!B918</f>
        <v>307.5</v>
      </c>
      <c r="AE918" s="220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670</v>
      </c>
      <c r="AM918" s="56">
        <f>'[2]Изложницы без бурта'!K918</f>
        <v>0</v>
      </c>
    </row>
    <row r="919" spans="28:39" x14ac:dyDescent="0.25">
      <c r="AB919" s="258" t="str">
        <f t="shared" si="24"/>
        <v/>
      </c>
      <c r="AC919" s="259">
        <f>IF(COUNTIF(AD$78:AD919,AD919)=1,MAX(AC$78:AC918)+1,"")</f>
        <v>88</v>
      </c>
      <c r="AD919" s="220">
        <f>'[2]Изложницы без бурта'!B919</f>
        <v>310</v>
      </c>
      <c r="AE919" s="220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671</v>
      </c>
      <c r="AM919" s="56">
        <f>'[2]Изложницы без бурта'!K919</f>
        <v>0</v>
      </c>
    </row>
    <row r="920" spans="28:39" x14ac:dyDescent="0.25">
      <c r="AB920" s="258" t="str">
        <f t="shared" si="24"/>
        <v/>
      </c>
      <c r="AC920" s="259" t="str">
        <f>IF(COUNTIF(AD$78:AD920,AD920)=1,MAX(AC$78:AC919)+1,"")</f>
        <v/>
      </c>
      <c r="AD920" s="220">
        <f>'[2]Изложницы без бурта'!B920</f>
        <v>310</v>
      </c>
      <c r="AE920" s="220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671</v>
      </c>
      <c r="AM920" s="56">
        <f>'[2]Изложницы без бурта'!K920</f>
        <v>0</v>
      </c>
    </row>
    <row r="921" spans="28:39" x14ac:dyDescent="0.25">
      <c r="AB921" s="258" t="str">
        <f t="shared" si="24"/>
        <v/>
      </c>
      <c r="AC921" s="259" t="str">
        <f>IF(COUNTIF(AD$78:AD921,AD921)=1,MAX(AC$78:AC920)+1,"")</f>
        <v/>
      </c>
      <c r="AD921" s="220">
        <f>'[2]Изложницы без бурта'!B921</f>
        <v>310</v>
      </c>
      <c r="AE921" s="220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671</v>
      </c>
      <c r="AM921" s="56">
        <f>'[2]Изложницы без бурта'!K921</f>
        <v>0</v>
      </c>
    </row>
    <row r="922" spans="28:39" x14ac:dyDescent="0.25">
      <c r="AB922" s="258" t="str">
        <f t="shared" si="24"/>
        <v/>
      </c>
      <c r="AC922" s="259" t="str">
        <f>IF(COUNTIF(AD$78:AD922,AD922)=1,MAX(AC$78:AC921)+1,"")</f>
        <v/>
      </c>
      <c r="AD922" s="220">
        <f>'[2]Изложницы без бурта'!B922</f>
        <v>310</v>
      </c>
      <c r="AE922" s="220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671</v>
      </c>
      <c r="AM922" s="56">
        <f>'[2]Изложницы без бурта'!K922</f>
        <v>0</v>
      </c>
    </row>
    <row r="923" spans="28:39" x14ac:dyDescent="0.25">
      <c r="AB923" s="258" t="str">
        <f t="shared" si="24"/>
        <v/>
      </c>
      <c r="AC923" s="259" t="str">
        <f>IF(COUNTIF(AD$78:AD923,AD923)=1,MAX(AC$78:AC922)+1,"")</f>
        <v/>
      </c>
      <c r="AD923" s="220">
        <f>'[2]Изложницы без бурта'!B923</f>
        <v>310</v>
      </c>
      <c r="AE923" s="220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671</v>
      </c>
      <c r="AM923" s="56">
        <f>'[2]Изложницы без бурта'!K923</f>
        <v>0</v>
      </c>
    </row>
    <row r="924" spans="28:39" x14ac:dyDescent="0.25">
      <c r="AB924" s="258" t="str">
        <f t="shared" si="24"/>
        <v/>
      </c>
      <c r="AC924" s="259" t="str">
        <f>IF(COUNTIF(AD$78:AD924,AD924)=1,MAX(AC$78:AC923)+1,"")</f>
        <v/>
      </c>
      <c r="AD924" s="220">
        <f>'[2]Изложницы без бурта'!B924</f>
        <v>310</v>
      </c>
      <c r="AE924" s="220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671</v>
      </c>
      <c r="AM924" s="56">
        <f>'[2]Изложницы без бурта'!K924</f>
        <v>0</v>
      </c>
    </row>
    <row r="925" spans="28:39" x14ac:dyDescent="0.25">
      <c r="AB925" s="258" t="str">
        <f t="shared" si="24"/>
        <v/>
      </c>
      <c r="AC925" s="259" t="str">
        <f>IF(COUNTIF(AD$78:AD925,AD925)=1,MAX(AC$78:AC924)+1,"")</f>
        <v/>
      </c>
      <c r="AD925" s="220">
        <f>'[2]Изложницы без бурта'!B925</f>
        <v>310</v>
      </c>
      <c r="AE925" s="220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671</v>
      </c>
      <c r="AM925" s="56">
        <f>'[2]Изложницы без бурта'!K925</f>
        <v>0</v>
      </c>
    </row>
    <row r="926" spans="28:39" x14ac:dyDescent="0.25">
      <c r="AB926" s="258" t="str">
        <f t="shared" si="24"/>
        <v/>
      </c>
      <c r="AC926" s="259" t="str">
        <f>IF(COUNTIF(AD$78:AD926,AD926)=1,MAX(AC$78:AC925)+1,"")</f>
        <v/>
      </c>
      <c r="AD926" s="220">
        <f>'[2]Изложницы без бурта'!B926</f>
        <v>310</v>
      </c>
      <c r="AE926" s="220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671</v>
      </c>
      <c r="AM926" s="56">
        <f>'[2]Изложницы без бурта'!K926</f>
        <v>0</v>
      </c>
    </row>
    <row r="927" spans="28:39" x14ac:dyDescent="0.25">
      <c r="AB927" s="258" t="str">
        <f t="shared" si="24"/>
        <v/>
      </c>
      <c r="AC927" s="259" t="str">
        <f>IF(COUNTIF(AD$78:AD927,AD927)=1,MAX(AC$78:AC926)+1,"")</f>
        <v/>
      </c>
      <c r="AD927" s="220">
        <f>'[2]Изложницы без бурта'!B927</f>
        <v>310</v>
      </c>
      <c r="AE927" s="220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671</v>
      </c>
      <c r="AM927" s="56">
        <f>'[2]Изложницы без бурта'!K927</f>
        <v>0</v>
      </c>
    </row>
    <row r="928" spans="28:39" x14ac:dyDescent="0.25">
      <c r="AB928" s="258" t="str">
        <f t="shared" si="24"/>
        <v/>
      </c>
      <c r="AC928" s="259">
        <f>IF(COUNTIF(AD$78:AD928,AD928)=1,MAX(AC$78:AC927)+1,"")</f>
        <v>89</v>
      </c>
      <c r="AD928" s="220">
        <f>'[2]Изложницы без бурта'!B928</f>
        <v>312.5</v>
      </c>
      <c r="AE928" s="220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672</v>
      </c>
      <c r="AM928" s="56">
        <f>'[2]Изложницы без бурта'!K928</f>
        <v>0</v>
      </c>
    </row>
    <row r="929" spans="28:39" x14ac:dyDescent="0.25">
      <c r="AB929" s="258" t="str">
        <f t="shared" si="24"/>
        <v/>
      </c>
      <c r="AC929" s="259" t="str">
        <f>IF(COUNTIF(AD$78:AD929,AD929)=1,MAX(AC$78:AC928)+1,"")</f>
        <v/>
      </c>
      <c r="AD929" s="220">
        <f>'[2]Изложницы без бурта'!B929</f>
        <v>312.5</v>
      </c>
      <c r="AE929" s="220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672</v>
      </c>
      <c r="AM929" s="56">
        <f>'[2]Изложницы без бурта'!K929</f>
        <v>0</v>
      </c>
    </row>
    <row r="930" spans="28:39" x14ac:dyDescent="0.25">
      <c r="AB930" s="258" t="str">
        <f t="shared" si="24"/>
        <v/>
      </c>
      <c r="AC930" s="259" t="str">
        <f>IF(COUNTIF(AD$78:AD930,AD930)=1,MAX(AC$78:AC929)+1,"")</f>
        <v/>
      </c>
      <c r="AD930" s="220">
        <f>'[2]Изложницы без бурта'!B930</f>
        <v>312.5</v>
      </c>
      <c r="AE930" s="220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672</v>
      </c>
      <c r="AM930" s="56">
        <f>'[2]Изложницы без бурта'!K930</f>
        <v>0</v>
      </c>
    </row>
    <row r="931" spans="28:39" x14ac:dyDescent="0.25">
      <c r="AB931" s="258" t="str">
        <f t="shared" si="24"/>
        <v/>
      </c>
      <c r="AC931" s="259" t="str">
        <f>IF(COUNTIF(AD$78:AD931,AD931)=1,MAX(AC$78:AC930)+1,"")</f>
        <v/>
      </c>
      <c r="AD931" s="220">
        <f>'[2]Изложницы без бурта'!B931</f>
        <v>312.5</v>
      </c>
      <c r="AE931" s="220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672</v>
      </c>
      <c r="AM931" s="56">
        <f>'[2]Изложницы без бурта'!K931</f>
        <v>0</v>
      </c>
    </row>
    <row r="932" spans="28:39" x14ac:dyDescent="0.25">
      <c r="AB932" s="258" t="str">
        <f t="shared" si="24"/>
        <v/>
      </c>
      <c r="AC932" s="259" t="str">
        <f>IF(COUNTIF(AD$78:AD932,AD932)=1,MAX(AC$78:AC931)+1,"")</f>
        <v/>
      </c>
      <c r="AD932" s="220">
        <f>'[2]Изложницы без бурта'!B932</f>
        <v>312.5</v>
      </c>
      <c r="AE932" s="220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672</v>
      </c>
      <c r="AM932" s="56">
        <f>'[2]Изложницы без бурта'!K932</f>
        <v>0</v>
      </c>
    </row>
    <row r="933" spans="28:39" x14ac:dyDescent="0.25">
      <c r="AB933" s="258" t="str">
        <f t="shared" si="24"/>
        <v/>
      </c>
      <c r="AC933" s="259" t="str">
        <f>IF(COUNTIF(AD$78:AD933,AD933)=1,MAX(AC$78:AC932)+1,"")</f>
        <v/>
      </c>
      <c r="AD933" s="220">
        <f>'[2]Изложницы без бурта'!B933</f>
        <v>312.5</v>
      </c>
      <c r="AE933" s="220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672</v>
      </c>
      <c r="AM933" s="56">
        <f>'[2]Изложницы без бурта'!K933</f>
        <v>0</v>
      </c>
    </row>
    <row r="934" spans="28:39" x14ac:dyDescent="0.25">
      <c r="AB934" s="258" t="str">
        <f t="shared" si="24"/>
        <v/>
      </c>
      <c r="AC934" s="259" t="str">
        <f>IF(COUNTIF(AD$78:AD934,AD934)=1,MAX(AC$78:AC933)+1,"")</f>
        <v/>
      </c>
      <c r="AD934" s="220">
        <f>'[2]Изложницы без бурта'!B934</f>
        <v>312.5</v>
      </c>
      <c r="AE934" s="220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672</v>
      </c>
      <c r="AM934" s="56">
        <f>'[2]Изложницы без бурта'!K934</f>
        <v>0</v>
      </c>
    </row>
    <row r="935" spans="28:39" x14ac:dyDescent="0.25">
      <c r="AB935" s="258" t="str">
        <f t="shared" si="24"/>
        <v/>
      </c>
      <c r="AC935" s="259" t="str">
        <f>IF(COUNTIF(AD$78:AD935,AD935)=1,MAX(AC$78:AC934)+1,"")</f>
        <v/>
      </c>
      <c r="AD935" s="220">
        <f>'[2]Изложницы без бурта'!B935</f>
        <v>312.5</v>
      </c>
      <c r="AE935" s="220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672</v>
      </c>
      <c r="AM935" s="56">
        <f>'[2]Изложницы без бурта'!K935</f>
        <v>0</v>
      </c>
    </row>
    <row r="936" spans="28:39" x14ac:dyDescent="0.25">
      <c r="AB936" s="258" t="str">
        <f t="shared" si="24"/>
        <v/>
      </c>
      <c r="AC936" s="259" t="str">
        <f>IF(COUNTIF(AD$78:AD936,AD936)=1,MAX(AC$78:AC935)+1,"")</f>
        <v/>
      </c>
      <c r="AD936" s="220">
        <f>'[2]Изложницы без бурта'!B936</f>
        <v>312.5</v>
      </c>
      <c r="AE936" s="220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672</v>
      </c>
      <c r="AM936" s="56">
        <f>'[2]Изложницы без бурта'!K936</f>
        <v>0</v>
      </c>
    </row>
    <row r="937" spans="28:39" x14ac:dyDescent="0.25">
      <c r="AB937" s="258" t="str">
        <f t="shared" si="24"/>
        <v/>
      </c>
      <c r="AC937" s="259" t="str">
        <f>IF(COUNTIF(AD$78:AD937,AD937)=1,MAX(AC$78:AC936)+1,"")</f>
        <v/>
      </c>
      <c r="AD937" s="220">
        <f>'[2]Изложницы без бурта'!B937</f>
        <v>312.5</v>
      </c>
      <c r="AE937" s="220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672</v>
      </c>
      <c r="AM937" s="56">
        <f>'[2]Изложницы без бурта'!K937</f>
        <v>0</v>
      </c>
    </row>
    <row r="938" spans="28:39" x14ac:dyDescent="0.25">
      <c r="AB938" s="258" t="str">
        <f t="shared" si="24"/>
        <v/>
      </c>
      <c r="AC938" s="259">
        <f>IF(COUNTIF(AD$78:AD938,AD938)=1,MAX(AC$78:AC937)+1,"")</f>
        <v>90</v>
      </c>
      <c r="AD938" s="220">
        <f>'[2]Изложницы без бурта'!B938</f>
        <v>315</v>
      </c>
      <c r="AE938" s="220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673</v>
      </c>
      <c r="AM938" s="56">
        <f>'[2]Изложницы без бурта'!K938</f>
        <v>0</v>
      </c>
    </row>
    <row r="939" spans="28:39" x14ac:dyDescent="0.25">
      <c r="AB939" s="258" t="str">
        <f t="shared" si="24"/>
        <v/>
      </c>
      <c r="AC939" s="259" t="str">
        <f>IF(COUNTIF(AD$78:AD939,AD939)=1,MAX(AC$78:AC938)+1,"")</f>
        <v/>
      </c>
      <c r="AD939" s="220">
        <f>'[2]Изложницы без бурта'!B939</f>
        <v>315</v>
      </c>
      <c r="AE939" s="220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673</v>
      </c>
      <c r="AM939" s="56">
        <f>'[2]Изложницы без бурта'!K939</f>
        <v>0</v>
      </c>
    </row>
    <row r="940" spans="28:39" x14ac:dyDescent="0.25">
      <c r="AB940" s="258" t="str">
        <f t="shared" si="24"/>
        <v/>
      </c>
      <c r="AC940" s="259" t="str">
        <f>IF(COUNTIF(AD$78:AD940,AD940)=1,MAX(AC$78:AC939)+1,"")</f>
        <v/>
      </c>
      <c r="AD940" s="220">
        <f>'[2]Изложницы без бурта'!B940</f>
        <v>315</v>
      </c>
      <c r="AE940" s="220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673</v>
      </c>
      <c r="AM940" s="56">
        <f>'[2]Изложницы без бурта'!K940</f>
        <v>0</v>
      </c>
    </row>
    <row r="941" spans="28:39" x14ac:dyDescent="0.25">
      <c r="AB941" s="258" t="str">
        <f t="shared" si="24"/>
        <v/>
      </c>
      <c r="AC941" s="259" t="str">
        <f>IF(COUNTIF(AD$78:AD941,AD941)=1,MAX(AC$78:AC940)+1,"")</f>
        <v/>
      </c>
      <c r="AD941" s="220">
        <f>'[2]Изложницы без бурта'!B941</f>
        <v>315</v>
      </c>
      <c r="AE941" s="220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673</v>
      </c>
      <c r="AM941" s="56">
        <f>'[2]Изложницы без бурта'!K941</f>
        <v>0</v>
      </c>
    </row>
    <row r="942" spans="28:39" x14ac:dyDescent="0.25">
      <c r="AB942" s="258" t="str">
        <f t="shared" si="24"/>
        <v/>
      </c>
      <c r="AC942" s="259" t="str">
        <f>IF(COUNTIF(AD$78:AD942,AD942)=1,MAX(AC$78:AC941)+1,"")</f>
        <v/>
      </c>
      <c r="AD942" s="220">
        <f>'[2]Изложницы без бурта'!B942</f>
        <v>315</v>
      </c>
      <c r="AE942" s="220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673</v>
      </c>
      <c r="AM942" s="56">
        <f>'[2]Изложницы без бурта'!K942</f>
        <v>0</v>
      </c>
    </row>
    <row r="943" spans="28:39" x14ac:dyDescent="0.25">
      <c r="AB943" s="258" t="str">
        <f t="shared" si="24"/>
        <v/>
      </c>
      <c r="AC943" s="259" t="str">
        <f>IF(COUNTIF(AD$78:AD943,AD943)=1,MAX(AC$78:AC942)+1,"")</f>
        <v/>
      </c>
      <c r="AD943" s="220">
        <f>'[2]Изложницы без бурта'!B943</f>
        <v>315</v>
      </c>
      <c r="AE943" s="220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673</v>
      </c>
      <c r="AM943" s="56">
        <f>'[2]Изложницы без бурта'!K943</f>
        <v>0</v>
      </c>
    </row>
    <row r="944" spans="28:39" x14ac:dyDescent="0.25">
      <c r="AB944" s="258" t="str">
        <f t="shared" si="24"/>
        <v/>
      </c>
      <c r="AC944" s="259" t="str">
        <f>IF(COUNTIF(AD$78:AD944,AD944)=1,MAX(AC$78:AC943)+1,"")</f>
        <v/>
      </c>
      <c r="AD944" s="220">
        <f>'[2]Изложницы без бурта'!B944</f>
        <v>315</v>
      </c>
      <c r="AE944" s="220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673</v>
      </c>
      <c r="AM944" s="56">
        <f>'[2]Изложницы без бурта'!K944</f>
        <v>0</v>
      </c>
    </row>
    <row r="945" spans="28:39" x14ac:dyDescent="0.25">
      <c r="AB945" s="258" t="str">
        <f t="shared" si="24"/>
        <v/>
      </c>
      <c r="AC945" s="259" t="str">
        <f>IF(COUNTIF(AD$78:AD945,AD945)=1,MAX(AC$78:AC944)+1,"")</f>
        <v/>
      </c>
      <c r="AD945" s="220">
        <f>'[2]Изложницы без бурта'!B945</f>
        <v>315</v>
      </c>
      <c r="AE945" s="220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673</v>
      </c>
      <c r="AM945" s="56">
        <f>'[2]Изложницы без бурта'!K945</f>
        <v>0</v>
      </c>
    </row>
    <row r="946" spans="28:39" x14ac:dyDescent="0.25">
      <c r="AB946" s="258" t="str">
        <f t="shared" si="24"/>
        <v/>
      </c>
      <c r="AC946" s="259">
        <f>IF(COUNTIF(AD$78:AD946,AD946)=1,MAX(AC$78:AC945)+1,"")</f>
        <v>91</v>
      </c>
      <c r="AD946" s="220">
        <f>'[2]Изложницы без бурта'!B946</f>
        <v>317.5</v>
      </c>
      <c r="AE946" s="220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674</v>
      </c>
      <c r="AM946" s="56">
        <f>'[2]Изложницы без бурта'!K946</f>
        <v>0</v>
      </c>
    </row>
    <row r="947" spans="28:39" x14ac:dyDescent="0.25">
      <c r="AB947" s="258" t="str">
        <f t="shared" si="24"/>
        <v/>
      </c>
      <c r="AC947" s="259" t="str">
        <f>IF(COUNTIF(AD$78:AD947,AD947)=1,MAX(AC$78:AC946)+1,"")</f>
        <v/>
      </c>
      <c r="AD947" s="220">
        <f>'[2]Изложницы без бурта'!B947</f>
        <v>317.5</v>
      </c>
      <c r="AE947" s="220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674</v>
      </c>
      <c r="AM947" s="56">
        <f>'[2]Изложницы без бурта'!K947</f>
        <v>0</v>
      </c>
    </row>
    <row r="948" spans="28:39" x14ac:dyDescent="0.25">
      <c r="AB948" s="258" t="str">
        <f t="shared" si="24"/>
        <v/>
      </c>
      <c r="AC948" s="259" t="str">
        <f>IF(COUNTIF(AD$78:AD948,AD948)=1,MAX(AC$78:AC947)+1,"")</f>
        <v/>
      </c>
      <c r="AD948" s="220">
        <f>'[2]Изложницы без бурта'!B948</f>
        <v>317.5</v>
      </c>
      <c r="AE948" s="220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674</v>
      </c>
      <c r="AM948" s="56">
        <f>'[2]Изложницы без бурта'!K948</f>
        <v>0</v>
      </c>
    </row>
    <row r="949" spans="28:39" x14ac:dyDescent="0.25">
      <c r="AB949" s="258" t="str">
        <f t="shared" si="24"/>
        <v/>
      </c>
      <c r="AC949" s="259">
        <f>IF(COUNTIF(AD$78:AD949,AD949)=1,MAX(AC$78:AC948)+1,"")</f>
        <v>92</v>
      </c>
      <c r="AD949" s="220">
        <f>'[2]Изложницы без бурта'!B949</f>
        <v>320</v>
      </c>
      <c r="AE949" s="220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675</v>
      </c>
      <c r="AM949" s="56">
        <f>'[2]Изложницы без бурта'!K949</f>
        <v>0</v>
      </c>
    </row>
    <row r="950" spans="28:39" x14ac:dyDescent="0.25">
      <c r="AB950" s="258" t="str">
        <f t="shared" si="24"/>
        <v/>
      </c>
      <c r="AC950" s="259" t="str">
        <f>IF(COUNTIF(AD$78:AD950,AD950)=1,MAX(AC$78:AC949)+1,"")</f>
        <v/>
      </c>
      <c r="AD950" s="220">
        <f>'[2]Изложницы без бурта'!B950</f>
        <v>320</v>
      </c>
      <c r="AE950" s="220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675</v>
      </c>
      <c r="AM950" s="56">
        <f>'[2]Изложницы без бурта'!K950</f>
        <v>0</v>
      </c>
    </row>
    <row r="951" spans="28:39" x14ac:dyDescent="0.25">
      <c r="AB951" s="258" t="str">
        <f t="shared" si="24"/>
        <v/>
      </c>
      <c r="AC951" s="259" t="str">
        <f>IF(COUNTIF(AD$78:AD951,AD951)=1,MAX(AC$78:AC950)+1,"")</f>
        <v/>
      </c>
      <c r="AD951" s="220">
        <f>'[2]Изложницы без бурта'!B951</f>
        <v>320</v>
      </c>
      <c r="AE951" s="220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675</v>
      </c>
      <c r="AM951" s="56">
        <f>'[2]Изложницы без бурта'!K951</f>
        <v>0</v>
      </c>
    </row>
    <row r="952" spans="28:39" x14ac:dyDescent="0.25">
      <c r="AB952" s="258" t="str">
        <f t="shared" si="24"/>
        <v/>
      </c>
      <c r="AC952" s="259" t="str">
        <f>IF(COUNTIF(AD$78:AD952,AD952)=1,MAX(AC$78:AC951)+1,"")</f>
        <v/>
      </c>
      <c r="AD952" s="220">
        <f>'[2]Изложницы без бурта'!B952</f>
        <v>320</v>
      </c>
      <c r="AE952" s="220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675</v>
      </c>
      <c r="AM952" s="56">
        <f>'[2]Изложницы без бурта'!K952</f>
        <v>0</v>
      </c>
    </row>
    <row r="953" spans="28:39" x14ac:dyDescent="0.25">
      <c r="AB953" s="258" t="str">
        <f t="shared" ref="AB953:AB1016" si="25">IF(MAX(AC953:AC2030)&lt;ROW(875:875),"",VLOOKUP(ROW(875:875),AC953:AD2030,2))</f>
        <v/>
      </c>
      <c r="AC953" s="259" t="str">
        <f>IF(COUNTIF(AD$78:AD953,AD953)=1,MAX(AC$78:AC952)+1,"")</f>
        <v/>
      </c>
      <c r="AD953" s="220">
        <f>'[2]Изложницы без бурта'!B953</f>
        <v>320</v>
      </c>
      <c r="AE953" s="220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675</v>
      </c>
      <c r="AM953" s="56">
        <f>'[2]Изложницы без бурта'!K953</f>
        <v>0</v>
      </c>
    </row>
    <row r="954" spans="28:39" x14ac:dyDescent="0.25">
      <c r="AB954" s="258" t="str">
        <f t="shared" si="25"/>
        <v/>
      </c>
      <c r="AC954" s="259" t="str">
        <f>IF(COUNTIF(AD$78:AD954,AD954)=1,MAX(AC$78:AC953)+1,"")</f>
        <v/>
      </c>
      <c r="AD954" s="220">
        <f>'[2]Изложницы без бурта'!B954</f>
        <v>320</v>
      </c>
      <c r="AE954" s="220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675</v>
      </c>
      <c r="AM954" s="56">
        <f>'[2]Изложницы без бурта'!K954</f>
        <v>0</v>
      </c>
    </row>
    <row r="955" spans="28:39" x14ac:dyDescent="0.25">
      <c r="AB955" s="258" t="str">
        <f t="shared" si="25"/>
        <v/>
      </c>
      <c r="AC955" s="259" t="str">
        <f>IF(COUNTIF(AD$78:AD955,AD955)=1,MAX(AC$78:AC954)+1,"")</f>
        <v/>
      </c>
      <c r="AD955" s="220">
        <f>'[2]Изложницы без бурта'!B955</f>
        <v>320</v>
      </c>
      <c r="AE955" s="220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675</v>
      </c>
      <c r="AM955" s="56">
        <f>'[2]Изложницы без бурта'!K955</f>
        <v>0</v>
      </c>
    </row>
    <row r="956" spans="28:39" x14ac:dyDescent="0.25">
      <c r="AB956" s="258" t="str">
        <f t="shared" si="25"/>
        <v/>
      </c>
      <c r="AC956" s="259" t="str">
        <f>IF(COUNTIF(AD$78:AD956,AD956)=1,MAX(AC$78:AC955)+1,"")</f>
        <v/>
      </c>
      <c r="AD956" s="220">
        <f>'[2]Изложницы без бурта'!B956</f>
        <v>320</v>
      </c>
      <c r="AE956" s="220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675</v>
      </c>
      <c r="AM956" s="56">
        <f>'[2]Изложницы без бурта'!K956</f>
        <v>0</v>
      </c>
    </row>
    <row r="957" spans="28:39" x14ac:dyDescent="0.25">
      <c r="AB957" s="258" t="str">
        <f t="shared" si="25"/>
        <v/>
      </c>
      <c r="AC957" s="259">
        <f>IF(COUNTIF(AD$78:AD957,AD957)=1,MAX(AC$78:AC956)+1,"")</f>
        <v>93</v>
      </c>
      <c r="AD957" s="220">
        <f>'[2]Изложницы без бурта'!B957</f>
        <v>322.5</v>
      </c>
      <c r="AE957" s="220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676</v>
      </c>
      <c r="AM957" s="56">
        <f>'[2]Изложницы без бурта'!K957</f>
        <v>0</v>
      </c>
    </row>
    <row r="958" spans="28:39" x14ac:dyDescent="0.25">
      <c r="AB958" s="258" t="str">
        <f t="shared" si="25"/>
        <v/>
      </c>
      <c r="AC958" s="259" t="str">
        <f>IF(COUNTIF(AD$78:AD958,AD958)=1,MAX(AC$78:AC957)+1,"")</f>
        <v/>
      </c>
      <c r="AD958" s="220">
        <f>'[2]Изложницы без бурта'!B958</f>
        <v>322.5</v>
      </c>
      <c r="AE958" s="220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676</v>
      </c>
      <c r="AM958" s="56">
        <f>'[2]Изложницы без бурта'!K958</f>
        <v>0</v>
      </c>
    </row>
    <row r="959" spans="28:39" x14ac:dyDescent="0.25">
      <c r="AB959" s="258" t="str">
        <f t="shared" si="25"/>
        <v/>
      </c>
      <c r="AC959" s="259" t="str">
        <f>IF(COUNTIF(AD$78:AD959,AD959)=1,MAX(AC$78:AC958)+1,"")</f>
        <v/>
      </c>
      <c r="AD959" s="220">
        <f>'[2]Изложницы без бурта'!B959</f>
        <v>322.5</v>
      </c>
      <c r="AE959" s="220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676</v>
      </c>
      <c r="AM959" s="56">
        <f>'[2]Изложницы без бурта'!K959</f>
        <v>0</v>
      </c>
    </row>
    <row r="960" spans="28:39" x14ac:dyDescent="0.25">
      <c r="AB960" s="258" t="str">
        <f t="shared" si="25"/>
        <v/>
      </c>
      <c r="AC960" s="259" t="str">
        <f>IF(COUNTIF(AD$78:AD960,AD960)=1,MAX(AC$78:AC959)+1,"")</f>
        <v/>
      </c>
      <c r="AD960" s="220">
        <f>'[2]Изложницы без бурта'!B960</f>
        <v>322.5</v>
      </c>
      <c r="AE960" s="220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676</v>
      </c>
      <c r="AM960" s="56">
        <f>'[2]Изложницы без бурта'!K960</f>
        <v>0</v>
      </c>
    </row>
    <row r="961" spans="28:39" x14ac:dyDescent="0.25">
      <c r="AB961" s="258" t="str">
        <f t="shared" si="25"/>
        <v/>
      </c>
      <c r="AC961" s="259" t="str">
        <f>IF(COUNTIF(AD$78:AD961,AD961)=1,MAX(AC$78:AC960)+1,"")</f>
        <v/>
      </c>
      <c r="AD961" s="220">
        <f>'[2]Изложницы без бурта'!B961</f>
        <v>322.5</v>
      </c>
      <c r="AE961" s="220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676</v>
      </c>
      <c r="AM961" s="56">
        <f>'[2]Изложницы без бурта'!K961</f>
        <v>0</v>
      </c>
    </row>
    <row r="962" spans="28:39" x14ac:dyDescent="0.25">
      <c r="AB962" s="258" t="str">
        <f t="shared" si="25"/>
        <v/>
      </c>
      <c r="AC962" s="259">
        <f>IF(COUNTIF(AD$78:AD962,AD962)=1,MAX(AC$78:AC961)+1,"")</f>
        <v>94</v>
      </c>
      <c r="AD962" s="220">
        <f>'[2]Изложницы без бурта'!B962</f>
        <v>325</v>
      </c>
      <c r="AE962" s="220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677</v>
      </c>
      <c r="AM962" s="56">
        <f>'[2]Изложницы без бурта'!K962</f>
        <v>0</v>
      </c>
    </row>
    <row r="963" spans="28:39" x14ac:dyDescent="0.25">
      <c r="AB963" s="258" t="str">
        <f t="shared" si="25"/>
        <v/>
      </c>
      <c r="AC963" s="259" t="str">
        <f>IF(COUNTIF(AD$78:AD963,AD963)=1,MAX(AC$78:AC962)+1,"")</f>
        <v/>
      </c>
      <c r="AD963" s="220">
        <f>'[2]Изложницы без бурта'!B963</f>
        <v>325</v>
      </c>
      <c r="AE963" s="220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677</v>
      </c>
      <c r="AM963" s="56">
        <f>'[2]Изложницы без бурта'!K963</f>
        <v>0</v>
      </c>
    </row>
    <row r="964" spans="28:39" x14ac:dyDescent="0.25">
      <c r="AB964" s="258" t="str">
        <f t="shared" si="25"/>
        <v/>
      </c>
      <c r="AC964" s="259" t="str">
        <f>IF(COUNTIF(AD$78:AD964,AD964)=1,MAX(AC$78:AC963)+1,"")</f>
        <v/>
      </c>
      <c r="AD964" s="220">
        <f>'[2]Изложницы без бурта'!B964</f>
        <v>325</v>
      </c>
      <c r="AE964" s="220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677</v>
      </c>
      <c r="AM964" s="56">
        <f>'[2]Изложницы без бурта'!K964</f>
        <v>0</v>
      </c>
    </row>
    <row r="965" spans="28:39" x14ac:dyDescent="0.25">
      <c r="AB965" s="258" t="str">
        <f t="shared" si="25"/>
        <v/>
      </c>
      <c r="AC965" s="259" t="str">
        <f>IF(COUNTIF(AD$78:AD965,AD965)=1,MAX(AC$78:AC964)+1,"")</f>
        <v/>
      </c>
      <c r="AD965" s="220">
        <f>'[2]Изложницы без бурта'!B965</f>
        <v>325</v>
      </c>
      <c r="AE965" s="220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677</v>
      </c>
      <c r="AM965" s="56">
        <f>'[2]Изложницы без бурта'!K965</f>
        <v>0</v>
      </c>
    </row>
    <row r="966" spans="28:39" x14ac:dyDescent="0.25">
      <c r="AB966" s="258" t="str">
        <f t="shared" si="25"/>
        <v/>
      </c>
      <c r="AC966" s="259">
        <f>IF(COUNTIF(AD$78:AD966,AD966)=1,MAX(AC$78:AC965)+1,"")</f>
        <v>95</v>
      </c>
      <c r="AD966" s="220">
        <f>'[2]Изложницы без бурта'!B966</f>
        <v>327.5</v>
      </c>
      <c r="AE966" s="220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678</v>
      </c>
      <c r="AM966" s="56">
        <f>'[2]Изложницы без бурта'!K966</f>
        <v>0</v>
      </c>
    </row>
    <row r="967" spans="28:39" x14ac:dyDescent="0.25">
      <c r="AB967" s="258" t="str">
        <f t="shared" si="25"/>
        <v/>
      </c>
      <c r="AC967" s="259">
        <f>IF(COUNTIF(AD$78:AD967,AD967)=1,MAX(AC$78:AC966)+1,"")</f>
        <v>96</v>
      </c>
      <c r="AD967" s="220">
        <f>'[2]Изложницы без бурта'!B967</f>
        <v>330</v>
      </c>
      <c r="AE967" s="220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679</v>
      </c>
      <c r="AM967" s="56">
        <f>'[2]Изложницы без бурта'!K967</f>
        <v>0</v>
      </c>
    </row>
    <row r="968" spans="28:39" x14ac:dyDescent="0.25">
      <c r="AB968" s="258" t="str">
        <f t="shared" si="25"/>
        <v/>
      </c>
      <c r="AC968" s="259" t="str">
        <f>IF(COUNTIF(AD$78:AD968,AD968)=1,MAX(AC$78:AC967)+1,"")</f>
        <v/>
      </c>
      <c r="AD968" s="220">
        <f>'[2]Изложницы без бурта'!B968</f>
        <v>330</v>
      </c>
      <c r="AE968" s="220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679</v>
      </c>
      <c r="AM968" s="56">
        <f>'[2]Изложницы без бурта'!K968</f>
        <v>0</v>
      </c>
    </row>
    <row r="969" spans="28:39" x14ac:dyDescent="0.25">
      <c r="AB969" s="258" t="str">
        <f t="shared" si="25"/>
        <v/>
      </c>
      <c r="AC969" s="259" t="str">
        <f>IF(COUNTIF(AD$78:AD969,AD969)=1,MAX(AC$78:AC968)+1,"")</f>
        <v/>
      </c>
      <c r="AD969" s="220">
        <f>'[2]Изложницы без бурта'!B969</f>
        <v>330</v>
      </c>
      <c r="AE969" s="220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679</v>
      </c>
      <c r="AM969" s="56">
        <f>'[2]Изложницы без бурта'!K969</f>
        <v>0</v>
      </c>
    </row>
    <row r="970" spans="28:39" x14ac:dyDescent="0.25">
      <c r="AB970" s="258" t="str">
        <f t="shared" si="25"/>
        <v/>
      </c>
      <c r="AC970" s="259" t="str">
        <f>IF(COUNTIF(AD$78:AD970,AD970)=1,MAX(AC$78:AC969)+1,"")</f>
        <v/>
      </c>
      <c r="AD970" s="220">
        <f>'[2]Изложницы без бурта'!B970</f>
        <v>330</v>
      </c>
      <c r="AE970" s="220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679</v>
      </c>
      <c r="AM970" s="56">
        <f>'[2]Изложницы без бурта'!K970</f>
        <v>0</v>
      </c>
    </row>
    <row r="971" spans="28:39" x14ac:dyDescent="0.25">
      <c r="AB971" s="258" t="str">
        <f t="shared" si="25"/>
        <v/>
      </c>
      <c r="AC971" s="259">
        <f>IF(COUNTIF(AD$78:AD971,AD971)=1,MAX(AC$78:AC970)+1,"")</f>
        <v>97</v>
      </c>
      <c r="AD971" s="220">
        <f>'[2]Изложницы без бурта'!B971</f>
        <v>332.5</v>
      </c>
      <c r="AE971" s="220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680</v>
      </c>
      <c r="AM971" s="56">
        <f>'[2]Изложницы без бурта'!K971</f>
        <v>0</v>
      </c>
    </row>
    <row r="972" spans="28:39" x14ac:dyDescent="0.25">
      <c r="AB972" s="258" t="str">
        <f t="shared" si="25"/>
        <v/>
      </c>
      <c r="AC972" s="259" t="str">
        <f>IF(COUNTIF(AD$78:AD972,AD972)=1,MAX(AC$78:AC971)+1,"")</f>
        <v/>
      </c>
      <c r="AD972" s="220">
        <f>'[2]Изложницы без бурта'!B972</f>
        <v>332.5</v>
      </c>
      <c r="AE972" s="220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680</v>
      </c>
      <c r="AM972" s="56">
        <f>'[2]Изложницы без бурта'!K972</f>
        <v>0</v>
      </c>
    </row>
    <row r="973" spans="28:39" x14ac:dyDescent="0.25">
      <c r="AB973" s="258" t="str">
        <f t="shared" si="25"/>
        <v/>
      </c>
      <c r="AC973" s="259" t="str">
        <f>IF(COUNTIF(AD$78:AD973,AD973)=1,MAX(AC$78:AC972)+1,"")</f>
        <v/>
      </c>
      <c r="AD973" s="220">
        <f>'[2]Изложницы без бурта'!B973</f>
        <v>332.5</v>
      </c>
      <c r="AE973" s="220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680</v>
      </c>
      <c r="AM973" s="56">
        <f>'[2]Изложницы без бурта'!K973</f>
        <v>0</v>
      </c>
    </row>
    <row r="974" spans="28:39" x14ac:dyDescent="0.25">
      <c r="AB974" s="258" t="str">
        <f t="shared" si="25"/>
        <v/>
      </c>
      <c r="AC974" s="259">
        <f>IF(COUNTIF(AD$78:AD974,AD974)=1,MAX(AC$78:AC973)+1,"")</f>
        <v>98</v>
      </c>
      <c r="AD974" s="220">
        <f>'[2]Изложницы без бурта'!B974</f>
        <v>335</v>
      </c>
      <c r="AE974" s="220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681</v>
      </c>
      <c r="AM974" s="56">
        <f>'[2]Изложницы без бурта'!K974</f>
        <v>0</v>
      </c>
    </row>
    <row r="975" spans="28:39" x14ac:dyDescent="0.25">
      <c r="AB975" s="258" t="str">
        <f t="shared" si="25"/>
        <v/>
      </c>
      <c r="AC975" s="259" t="str">
        <f>IF(COUNTIF(AD$78:AD975,AD975)=1,MAX(AC$78:AC974)+1,"")</f>
        <v/>
      </c>
      <c r="AD975" s="220">
        <f>'[2]Изложницы без бурта'!B975</f>
        <v>335</v>
      </c>
      <c r="AE975" s="220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681</v>
      </c>
      <c r="AM975" s="56">
        <f>'[2]Изложницы без бурта'!K975</f>
        <v>0</v>
      </c>
    </row>
    <row r="976" spans="28:39" x14ac:dyDescent="0.25">
      <c r="AB976" s="258" t="str">
        <f t="shared" si="25"/>
        <v/>
      </c>
      <c r="AC976" s="259" t="str">
        <f>IF(COUNTIF(AD$78:AD976,AD976)=1,MAX(AC$78:AC975)+1,"")</f>
        <v/>
      </c>
      <c r="AD976" s="220">
        <f>'[2]Изложницы без бурта'!B976</f>
        <v>335</v>
      </c>
      <c r="AE976" s="220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681</v>
      </c>
      <c r="AM976" s="56">
        <f>'[2]Изложницы без бурта'!K976</f>
        <v>0</v>
      </c>
    </row>
    <row r="977" spans="28:39" x14ac:dyDescent="0.25">
      <c r="AB977" s="258" t="str">
        <f t="shared" si="25"/>
        <v/>
      </c>
      <c r="AC977" s="259" t="str">
        <f>IF(COUNTIF(AD$78:AD977,AD977)=1,MAX(AC$78:AC976)+1,"")</f>
        <v/>
      </c>
      <c r="AD977" s="220">
        <f>'[2]Изложницы без бурта'!B977</f>
        <v>335</v>
      </c>
      <c r="AE977" s="220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681</v>
      </c>
      <c r="AM977" s="56">
        <f>'[2]Изложницы без бурта'!K977</f>
        <v>0</v>
      </c>
    </row>
    <row r="978" spans="28:39" x14ac:dyDescent="0.25">
      <c r="AB978" s="258" t="str">
        <f t="shared" si="25"/>
        <v/>
      </c>
      <c r="AC978" s="259" t="str">
        <f>IF(COUNTIF(AD$78:AD978,AD978)=1,MAX(AC$78:AC977)+1,"")</f>
        <v/>
      </c>
      <c r="AD978" s="220">
        <f>'[2]Изложницы без бурта'!B978</f>
        <v>335</v>
      </c>
      <c r="AE978" s="220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681</v>
      </c>
      <c r="AM978" s="56">
        <f>'[2]Изложницы без бурта'!K978</f>
        <v>0</v>
      </c>
    </row>
    <row r="979" spans="28:39" x14ac:dyDescent="0.25">
      <c r="AB979" s="258" t="str">
        <f t="shared" si="25"/>
        <v/>
      </c>
      <c r="AC979" s="259" t="str">
        <f>IF(COUNTIF(AD$78:AD979,AD979)=1,MAX(AC$78:AC978)+1,"")</f>
        <v/>
      </c>
      <c r="AD979" s="220">
        <f>'[2]Изложницы без бурта'!B979</f>
        <v>335</v>
      </c>
      <c r="AE979" s="220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681</v>
      </c>
      <c r="AM979" s="56">
        <f>'[2]Изложницы без бурта'!K979</f>
        <v>0</v>
      </c>
    </row>
    <row r="980" spans="28:39" x14ac:dyDescent="0.25">
      <c r="AB980" s="258" t="str">
        <f t="shared" si="25"/>
        <v/>
      </c>
      <c r="AC980" s="259" t="str">
        <f>IF(COUNTIF(AD$78:AD980,AD980)=1,MAX(AC$78:AC979)+1,"")</f>
        <v/>
      </c>
      <c r="AD980" s="220">
        <f>'[2]Изложницы без бурта'!B980</f>
        <v>335</v>
      </c>
      <c r="AE980" s="220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681</v>
      </c>
      <c r="AM980" s="56">
        <f>'[2]Изложницы без бурта'!K980</f>
        <v>0</v>
      </c>
    </row>
    <row r="981" spans="28:39" x14ac:dyDescent="0.25">
      <c r="AB981" s="258" t="str">
        <f t="shared" si="25"/>
        <v/>
      </c>
      <c r="AC981" s="259">
        <f>IF(COUNTIF(AD$78:AD981,AD981)=1,MAX(AC$78:AC980)+1,"")</f>
        <v>99</v>
      </c>
      <c r="AD981" s="220">
        <f>'[2]Изложницы без бурта'!B981</f>
        <v>337.5</v>
      </c>
      <c r="AE981" s="220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682</v>
      </c>
      <c r="AM981" s="56">
        <f>'[2]Изложницы без бурта'!K981</f>
        <v>0</v>
      </c>
    </row>
    <row r="982" spans="28:39" x14ac:dyDescent="0.25">
      <c r="AB982" s="258" t="str">
        <f t="shared" si="25"/>
        <v/>
      </c>
      <c r="AC982" s="259" t="str">
        <f>IF(COUNTIF(AD$78:AD982,AD982)=1,MAX(AC$78:AC981)+1,"")</f>
        <v/>
      </c>
      <c r="AD982" s="220">
        <f>'[2]Изложницы без бурта'!B982</f>
        <v>337.5</v>
      </c>
      <c r="AE982" s="220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682</v>
      </c>
      <c r="AM982" s="56">
        <f>'[2]Изложницы без бурта'!K982</f>
        <v>0</v>
      </c>
    </row>
    <row r="983" spans="28:39" x14ac:dyDescent="0.25">
      <c r="AB983" s="258" t="str">
        <f t="shared" si="25"/>
        <v/>
      </c>
      <c r="AC983" s="259">
        <f>IF(COUNTIF(AD$78:AD983,AD983)=1,MAX(AC$78:AC982)+1,"")</f>
        <v>100</v>
      </c>
      <c r="AD983" s="220">
        <f>'[2]Изложницы без бурта'!B983</f>
        <v>340</v>
      </c>
      <c r="AE983" s="220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683</v>
      </c>
      <c r="AM983" s="56">
        <f>'[2]Изложницы без бурта'!K983</f>
        <v>0</v>
      </c>
    </row>
    <row r="984" spans="28:39" x14ac:dyDescent="0.25">
      <c r="AB984" s="258" t="str">
        <f t="shared" si="25"/>
        <v/>
      </c>
      <c r="AC984" s="259" t="str">
        <f>IF(COUNTIF(AD$78:AD984,AD984)=1,MAX(AC$78:AC983)+1,"")</f>
        <v/>
      </c>
      <c r="AD984" s="220">
        <f>'[2]Изложницы без бурта'!B984</f>
        <v>340</v>
      </c>
      <c r="AE984" s="220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683</v>
      </c>
      <c r="AM984" s="56">
        <f>'[2]Изложницы без бурта'!K984</f>
        <v>0</v>
      </c>
    </row>
    <row r="985" spans="28:39" x14ac:dyDescent="0.25">
      <c r="AB985" s="258" t="str">
        <f t="shared" si="25"/>
        <v/>
      </c>
      <c r="AC985" s="259">
        <f>IF(COUNTIF(AD$78:AD985,AD985)=1,MAX(AC$78:AC984)+1,"")</f>
        <v>101</v>
      </c>
      <c r="AD985" s="220">
        <f>'[2]Изложницы без бурта'!B985</f>
        <v>347.5</v>
      </c>
      <c r="AE985" s="220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684</v>
      </c>
      <c r="AM985" s="56">
        <f>'[2]Изложницы без бурта'!K985</f>
        <v>0</v>
      </c>
    </row>
    <row r="986" spans="28:39" x14ac:dyDescent="0.25">
      <c r="AB986" s="258" t="str">
        <f t="shared" si="25"/>
        <v/>
      </c>
      <c r="AC986" s="259" t="str">
        <f>IF(COUNTIF(AD$78:AD986,AD986)=1,MAX(AC$78:AC985)+1,"")</f>
        <v/>
      </c>
      <c r="AD986" s="220">
        <f>'[2]Изложницы без бурта'!B986</f>
        <v>347.5</v>
      </c>
      <c r="AE986" s="220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684</v>
      </c>
      <c r="AM986" s="56">
        <f>'[2]Изложницы без бурта'!K986</f>
        <v>0</v>
      </c>
    </row>
    <row r="987" spans="28:39" x14ac:dyDescent="0.25">
      <c r="AB987" s="258" t="str">
        <f t="shared" si="25"/>
        <v/>
      </c>
      <c r="AC987" s="259" t="str">
        <f>IF(COUNTIF(AD$78:AD987,AD987)=1,MAX(AC$78:AC986)+1,"")</f>
        <v/>
      </c>
      <c r="AD987" s="220">
        <f>'[2]Изложницы без бурта'!B987</f>
        <v>347.5</v>
      </c>
      <c r="AE987" s="220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684</v>
      </c>
      <c r="AM987" s="56">
        <f>'[2]Изложницы без бурта'!K987</f>
        <v>0</v>
      </c>
    </row>
    <row r="988" spans="28:39" x14ac:dyDescent="0.25">
      <c r="AB988" s="258" t="str">
        <f t="shared" si="25"/>
        <v/>
      </c>
      <c r="AC988" s="259">
        <f>IF(COUNTIF(AD$78:AD988,AD988)=1,MAX(AC$78:AC987)+1,"")</f>
        <v>102</v>
      </c>
      <c r="AD988" s="220">
        <f>'[2]Изложницы без бурта'!B988</f>
        <v>350</v>
      </c>
      <c r="AE988" s="220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685</v>
      </c>
      <c r="AM988" s="56">
        <f>'[2]Изложницы без бурта'!K988</f>
        <v>0</v>
      </c>
    </row>
    <row r="989" spans="28:39" x14ac:dyDescent="0.25">
      <c r="AB989" s="258" t="str">
        <f t="shared" si="25"/>
        <v/>
      </c>
      <c r="AC989" s="259" t="str">
        <f>IF(COUNTIF(AD$78:AD989,AD989)=1,MAX(AC$78:AC988)+1,"")</f>
        <v/>
      </c>
      <c r="AD989" s="220">
        <f>'[2]Изложницы без бурта'!B989</f>
        <v>350</v>
      </c>
      <c r="AE989" s="220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685</v>
      </c>
      <c r="AM989" s="56">
        <f>'[2]Изложницы без бурта'!K989</f>
        <v>0</v>
      </c>
    </row>
    <row r="990" spans="28:39" x14ac:dyDescent="0.25">
      <c r="AB990" s="258" t="str">
        <f t="shared" si="25"/>
        <v/>
      </c>
      <c r="AC990" s="259" t="str">
        <f>IF(COUNTIF(AD$78:AD990,AD990)=1,MAX(AC$78:AC989)+1,"")</f>
        <v/>
      </c>
      <c r="AD990" s="220">
        <f>'[2]Изложницы без бурта'!B990</f>
        <v>350</v>
      </c>
      <c r="AE990" s="220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685</v>
      </c>
      <c r="AM990" s="56">
        <f>'[2]Изложницы без бурта'!K990</f>
        <v>0</v>
      </c>
    </row>
    <row r="991" spans="28:39" x14ac:dyDescent="0.25">
      <c r="AB991" s="258" t="str">
        <f t="shared" si="25"/>
        <v/>
      </c>
      <c r="AC991" s="259" t="str">
        <f>IF(COUNTIF(AD$78:AD991,AD991)=1,MAX(AC$78:AC990)+1,"")</f>
        <v/>
      </c>
      <c r="AD991" s="220">
        <f>'[2]Изложницы без бурта'!B991</f>
        <v>350</v>
      </c>
      <c r="AE991" s="220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685</v>
      </c>
      <c r="AM991" s="56">
        <f>'[2]Изложницы без бурта'!K991</f>
        <v>0</v>
      </c>
    </row>
    <row r="992" spans="28:39" x14ac:dyDescent="0.25">
      <c r="AB992" s="258" t="str">
        <f t="shared" si="25"/>
        <v/>
      </c>
      <c r="AC992" s="259" t="str">
        <f>IF(COUNTIF(AD$78:AD992,AD992)=1,MAX(AC$78:AC991)+1,"")</f>
        <v/>
      </c>
      <c r="AD992" s="220">
        <f>'[2]Изложницы без бурта'!B992</f>
        <v>350</v>
      </c>
      <c r="AE992" s="220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685</v>
      </c>
      <c r="AM992" s="56">
        <f>'[2]Изложницы без бурта'!K992</f>
        <v>0</v>
      </c>
    </row>
    <row r="993" spans="28:39" x14ac:dyDescent="0.25">
      <c r="AB993" s="258" t="str">
        <f t="shared" si="25"/>
        <v/>
      </c>
      <c r="AC993" s="259">
        <f>IF(COUNTIF(AD$78:AD993,AD993)=1,MAX(AC$78:AC992)+1,"")</f>
        <v>103</v>
      </c>
      <c r="AD993" s="220">
        <f>'[2]Изложницы без бурта'!B993</f>
        <v>355</v>
      </c>
      <c r="AE993" s="220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686</v>
      </c>
      <c r="AM993" s="56">
        <f>'[2]Изложницы без бурта'!K993</f>
        <v>0</v>
      </c>
    </row>
    <row r="994" spans="28:39" x14ac:dyDescent="0.25">
      <c r="AB994" s="258" t="str">
        <f t="shared" si="25"/>
        <v/>
      </c>
      <c r="AC994" s="259" t="str">
        <f>IF(COUNTIF(AD$78:AD994,AD994)=1,MAX(AC$78:AC993)+1,"")</f>
        <v/>
      </c>
      <c r="AD994" s="220">
        <f>'[2]Изложницы без бурта'!B994</f>
        <v>355</v>
      </c>
      <c r="AE994" s="220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686</v>
      </c>
      <c r="AM994" s="56">
        <f>'[2]Изложницы без бурта'!K994</f>
        <v>0</v>
      </c>
    </row>
    <row r="995" spans="28:39" x14ac:dyDescent="0.25">
      <c r="AB995" s="258" t="str">
        <f t="shared" si="25"/>
        <v/>
      </c>
      <c r="AC995" s="259" t="str">
        <f>IF(COUNTIF(AD$78:AD995,AD995)=1,MAX(AC$78:AC994)+1,"")</f>
        <v/>
      </c>
      <c r="AD995" s="220">
        <f>'[2]Изложницы без бурта'!B995</f>
        <v>355</v>
      </c>
      <c r="AE995" s="220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686</v>
      </c>
      <c r="AM995" s="56">
        <f>'[2]Изложницы без бурта'!K995</f>
        <v>0</v>
      </c>
    </row>
    <row r="996" spans="28:39" x14ac:dyDescent="0.25">
      <c r="AB996" s="258" t="str">
        <f t="shared" si="25"/>
        <v/>
      </c>
      <c r="AC996" s="259" t="str">
        <f>IF(COUNTIF(AD$78:AD996,AD996)=1,MAX(AC$78:AC995)+1,"")</f>
        <v/>
      </c>
      <c r="AD996" s="220">
        <f>'[2]Изложницы без бурта'!B996</f>
        <v>355</v>
      </c>
      <c r="AE996" s="220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686</v>
      </c>
      <c r="AM996" s="56">
        <f>'[2]Изложницы без бурта'!K996</f>
        <v>0</v>
      </c>
    </row>
    <row r="997" spans="28:39" x14ac:dyDescent="0.25">
      <c r="AB997" s="258" t="str">
        <f t="shared" si="25"/>
        <v/>
      </c>
      <c r="AC997" s="259">
        <f>IF(COUNTIF(AD$78:AD997,AD997)=1,MAX(AC$78:AC996)+1,"")</f>
        <v>104</v>
      </c>
      <c r="AD997" s="220">
        <f>'[2]Изложницы без бурта'!B997</f>
        <v>360</v>
      </c>
      <c r="AE997" s="220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687</v>
      </c>
      <c r="AM997" s="56">
        <f>'[2]Изложницы без бурта'!K997</f>
        <v>0</v>
      </c>
    </row>
    <row r="998" spans="28:39" x14ac:dyDescent="0.25">
      <c r="AB998" s="258" t="str">
        <f t="shared" si="25"/>
        <v/>
      </c>
      <c r="AC998" s="259">
        <f>IF(COUNTIF(AD$78:AD998,AD998)=1,MAX(AC$78:AC997)+1,"")</f>
        <v>105</v>
      </c>
      <c r="AD998" s="220">
        <f>'[2]Изложницы без бурта'!B998</f>
        <v>365</v>
      </c>
      <c r="AE998" s="220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688</v>
      </c>
      <c r="AM998" s="56">
        <f>'[2]Изложницы без бурта'!K998</f>
        <v>0</v>
      </c>
    </row>
    <row r="999" spans="28:39" x14ac:dyDescent="0.25">
      <c r="AB999" s="258" t="str">
        <f t="shared" si="25"/>
        <v/>
      </c>
      <c r="AC999" s="259" t="str">
        <f>IF(COUNTIF(AD$78:AD999,AD999)=1,MAX(AC$78:AC998)+1,"")</f>
        <v/>
      </c>
      <c r="AD999" s="220">
        <f>'[2]Изложницы без бурта'!B999</f>
        <v>365</v>
      </c>
      <c r="AE999" s="220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688</v>
      </c>
      <c r="AM999" s="56">
        <f>'[2]Изложницы без бурта'!K999</f>
        <v>0</v>
      </c>
    </row>
    <row r="1000" spans="28:39" x14ac:dyDescent="0.25">
      <c r="AB1000" s="258" t="str">
        <f t="shared" si="25"/>
        <v/>
      </c>
      <c r="AC1000" s="259" t="str">
        <f>IF(COUNTIF(AD$78:AD1000,AD1000)=1,MAX(AC$78:AC999)+1,"")</f>
        <v/>
      </c>
      <c r="AD1000" s="220">
        <f>'[2]Изложницы без бурта'!B1000</f>
        <v>365</v>
      </c>
      <c r="AE1000" s="220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688</v>
      </c>
      <c r="AM1000" s="56">
        <f>'[2]Изложницы без бурта'!K1000</f>
        <v>0</v>
      </c>
    </row>
    <row r="1001" spans="28:39" x14ac:dyDescent="0.25">
      <c r="AB1001" s="258" t="str">
        <f t="shared" si="25"/>
        <v/>
      </c>
      <c r="AC1001" s="259" t="str">
        <f>IF(COUNTIF(AD$78:AD1001,AD1001)=1,MAX(AC$78:AC1000)+1,"")</f>
        <v/>
      </c>
      <c r="AD1001" s="220">
        <f>'[2]Изложницы без бурта'!B1001</f>
        <v>365</v>
      </c>
      <c r="AE1001" s="220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688</v>
      </c>
      <c r="AM1001" s="56">
        <f>'[2]Изложницы без бурта'!K1001</f>
        <v>0</v>
      </c>
    </row>
    <row r="1002" spans="28:39" x14ac:dyDescent="0.25">
      <c r="AB1002" s="258" t="str">
        <f t="shared" si="25"/>
        <v/>
      </c>
      <c r="AC1002" s="259">
        <f>IF(COUNTIF(AD$78:AD1002,AD1002)=1,MAX(AC$78:AC1001)+1,"")</f>
        <v>106</v>
      </c>
      <c r="AD1002" s="220">
        <f>'[2]Изложницы без бурта'!B1002</f>
        <v>367.5</v>
      </c>
      <c r="AE1002" s="220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689</v>
      </c>
      <c r="AM1002" s="56">
        <f>'[2]Изложницы без бурта'!K1002</f>
        <v>0</v>
      </c>
    </row>
    <row r="1003" spans="28:39" x14ac:dyDescent="0.25">
      <c r="AB1003" s="258" t="str">
        <f t="shared" si="25"/>
        <v/>
      </c>
      <c r="AC1003" s="259">
        <f>IF(COUNTIF(AD$78:AD1003,AD1003)=1,MAX(AC$78:AC1002)+1,"")</f>
        <v>107</v>
      </c>
      <c r="AD1003" s="220">
        <f>'[2]Изложницы без бурта'!B1003</f>
        <v>370</v>
      </c>
      <c r="AE1003" s="220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690</v>
      </c>
      <c r="AM1003" s="56">
        <f>'[2]Изложницы без бурта'!K1003</f>
        <v>0</v>
      </c>
    </row>
    <row r="1004" spans="28:39" x14ac:dyDescent="0.25">
      <c r="AB1004" s="258" t="str">
        <f t="shared" si="25"/>
        <v/>
      </c>
      <c r="AC1004" s="259">
        <f>IF(COUNTIF(AD$78:AD1004,AD1004)=1,MAX(AC$78:AC1003)+1,"")</f>
        <v>108</v>
      </c>
      <c r="AD1004" s="220">
        <f>'[2]Изложницы без бурта'!B1004</f>
        <v>372.5</v>
      </c>
      <c r="AE1004" s="220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691</v>
      </c>
      <c r="AM1004" s="56">
        <f>'[2]Изложницы без бурта'!K1004</f>
        <v>0</v>
      </c>
    </row>
    <row r="1005" spans="28:39" x14ac:dyDescent="0.25">
      <c r="AB1005" s="258" t="str">
        <f t="shared" si="25"/>
        <v/>
      </c>
      <c r="AC1005" s="259" t="str">
        <f>IF(COUNTIF(AD$78:AD1005,AD1005)=1,MAX(AC$78:AC1004)+1,"")</f>
        <v/>
      </c>
      <c r="AD1005" s="220">
        <f>'[2]Изложницы без бурта'!B1005</f>
        <v>372.5</v>
      </c>
      <c r="AE1005" s="220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691</v>
      </c>
      <c r="AM1005" s="56">
        <f>'[2]Изложницы без бурта'!K1005</f>
        <v>0</v>
      </c>
    </row>
    <row r="1006" spans="28:39" x14ac:dyDescent="0.25">
      <c r="AB1006" s="258" t="str">
        <f t="shared" si="25"/>
        <v/>
      </c>
      <c r="AC1006" s="259" t="str">
        <f>IF(COUNTIF(AD$78:AD1006,AD1006)=1,MAX(AC$78:AC1005)+1,"")</f>
        <v/>
      </c>
      <c r="AD1006" s="220">
        <f>'[2]Изложницы без бурта'!B1006</f>
        <v>372.5</v>
      </c>
      <c r="AE1006" s="220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691</v>
      </c>
      <c r="AM1006" s="56">
        <f>'[2]Изложницы без бурта'!K1006</f>
        <v>0</v>
      </c>
    </row>
    <row r="1007" spans="28:39" x14ac:dyDescent="0.25">
      <c r="AB1007" s="258" t="str">
        <f t="shared" si="25"/>
        <v/>
      </c>
      <c r="AC1007" s="259">
        <f>IF(COUNTIF(AD$78:AD1007,AD1007)=1,MAX(AC$78:AC1006)+1,"")</f>
        <v>109</v>
      </c>
      <c r="AD1007" s="220">
        <f>'[2]Изложницы без бурта'!B1007</f>
        <v>377.5</v>
      </c>
      <c r="AE1007" s="220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692</v>
      </c>
      <c r="AM1007" s="56">
        <f>'[2]Изложницы без бурта'!K1007</f>
        <v>0</v>
      </c>
    </row>
    <row r="1008" spans="28:39" x14ac:dyDescent="0.25">
      <c r="AB1008" s="258" t="str">
        <f t="shared" si="25"/>
        <v/>
      </c>
      <c r="AC1008" s="259" t="str">
        <f>IF(COUNTIF(AD$78:AD1008,AD1008)=1,MAX(AC$78:AC1007)+1,"")</f>
        <v/>
      </c>
      <c r="AD1008" s="220">
        <f>'[2]Изложницы без бурта'!B1008</f>
        <v>377.5</v>
      </c>
      <c r="AE1008" s="220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692</v>
      </c>
      <c r="AM1008" s="56">
        <f>'[2]Изложницы без бурта'!K1008</f>
        <v>0</v>
      </c>
    </row>
    <row r="1009" spans="28:39" x14ac:dyDescent="0.25">
      <c r="AB1009" s="258" t="str">
        <f t="shared" si="25"/>
        <v/>
      </c>
      <c r="AC1009" s="259" t="str">
        <f>IF(COUNTIF(AD$78:AD1009,AD1009)=1,MAX(AC$78:AC1008)+1,"")</f>
        <v/>
      </c>
      <c r="AD1009" s="220">
        <f>'[2]Изложницы без бурта'!B1009</f>
        <v>377.5</v>
      </c>
      <c r="AE1009" s="220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692</v>
      </c>
      <c r="AM1009" s="56">
        <f>'[2]Изложницы без бурта'!K1009</f>
        <v>0</v>
      </c>
    </row>
    <row r="1010" spans="28:39" x14ac:dyDescent="0.25">
      <c r="AB1010" s="258" t="str">
        <f t="shared" si="25"/>
        <v/>
      </c>
      <c r="AC1010" s="259" t="str">
        <f>IF(COUNTIF(AD$78:AD1010,AD1010)=1,MAX(AC$78:AC1009)+1,"")</f>
        <v/>
      </c>
      <c r="AD1010" s="220">
        <f>'[2]Изложницы без бурта'!B1010</f>
        <v>377.5</v>
      </c>
      <c r="AE1010" s="220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692</v>
      </c>
      <c r="AM1010" s="56">
        <f>'[2]Изложницы без бурта'!K1010</f>
        <v>0</v>
      </c>
    </row>
    <row r="1011" spans="28:39" x14ac:dyDescent="0.25">
      <c r="AB1011" s="258" t="str">
        <f t="shared" si="25"/>
        <v/>
      </c>
      <c r="AC1011" s="259" t="str">
        <f>IF(COUNTIF(AD$78:AD1011,AD1011)=1,MAX(AC$78:AC1010)+1,"")</f>
        <v/>
      </c>
      <c r="AD1011" s="220">
        <f>'[2]Изложницы без бурта'!B1011</f>
        <v>377.5</v>
      </c>
      <c r="AE1011" s="220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692</v>
      </c>
      <c r="AM1011" s="56">
        <f>'[2]Изложницы без бурта'!K1011</f>
        <v>0</v>
      </c>
    </row>
    <row r="1012" spans="28:39" x14ac:dyDescent="0.25">
      <c r="AB1012" s="258" t="str">
        <f t="shared" si="25"/>
        <v/>
      </c>
      <c r="AC1012" s="259" t="str">
        <f>IF(COUNTIF(AD$78:AD1012,AD1012)=1,MAX(AC$78:AC1011)+1,"")</f>
        <v/>
      </c>
      <c r="AD1012" s="220">
        <f>'[2]Изложницы без бурта'!B1012</f>
        <v>377.5</v>
      </c>
      <c r="AE1012" s="220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692</v>
      </c>
      <c r="AM1012" s="56">
        <f>'[2]Изложницы без бурта'!K1012</f>
        <v>0</v>
      </c>
    </row>
    <row r="1013" spans="28:39" x14ac:dyDescent="0.25">
      <c r="AB1013" s="258" t="str">
        <f t="shared" si="25"/>
        <v/>
      </c>
      <c r="AC1013" s="259">
        <f>IF(COUNTIF(AD$78:AD1013,AD1013)=1,MAX(AC$78:AC1012)+1,"")</f>
        <v>110</v>
      </c>
      <c r="AD1013" s="220">
        <f>'[2]Изложницы без бурта'!B1013</f>
        <v>380</v>
      </c>
      <c r="AE1013" s="220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693</v>
      </c>
      <c r="AM1013" s="56">
        <f>'[2]Изложницы без бурта'!K1013</f>
        <v>0</v>
      </c>
    </row>
    <row r="1014" spans="28:39" x14ac:dyDescent="0.25">
      <c r="AB1014" s="258" t="str">
        <f t="shared" si="25"/>
        <v/>
      </c>
      <c r="AC1014" s="259" t="str">
        <f>IF(COUNTIF(AD$78:AD1014,AD1014)=1,MAX(AC$78:AC1013)+1,"")</f>
        <v/>
      </c>
      <c r="AD1014" s="220">
        <f>'[2]Изложницы без бурта'!B1014</f>
        <v>380</v>
      </c>
      <c r="AE1014" s="220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693</v>
      </c>
      <c r="AM1014" s="56">
        <f>'[2]Изложницы без бурта'!K1014</f>
        <v>0</v>
      </c>
    </row>
    <row r="1015" spans="28:39" x14ac:dyDescent="0.25">
      <c r="AB1015" s="258" t="str">
        <f t="shared" si="25"/>
        <v/>
      </c>
      <c r="AC1015" s="259" t="str">
        <f>IF(COUNTIF(AD$78:AD1015,AD1015)=1,MAX(AC$78:AC1014)+1,"")</f>
        <v/>
      </c>
      <c r="AD1015" s="220">
        <f>'[2]Изложницы без бурта'!B1015</f>
        <v>380</v>
      </c>
      <c r="AE1015" s="220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693</v>
      </c>
      <c r="AM1015" s="56">
        <f>'[2]Изложницы без бурта'!K1015</f>
        <v>0</v>
      </c>
    </row>
    <row r="1016" spans="28:39" x14ac:dyDescent="0.25">
      <c r="AB1016" s="258" t="str">
        <f t="shared" si="25"/>
        <v/>
      </c>
      <c r="AC1016" s="259" t="str">
        <f>IF(COUNTIF(AD$78:AD1016,AD1016)=1,MAX(AC$78:AC1015)+1,"")</f>
        <v/>
      </c>
      <c r="AD1016" s="220">
        <f>'[2]Изложницы без бурта'!B1016</f>
        <v>380</v>
      </c>
      <c r="AE1016" s="220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693</v>
      </c>
      <c r="AM1016" s="56">
        <f>'[2]Изложницы без бурта'!K1016</f>
        <v>0</v>
      </c>
    </row>
    <row r="1017" spans="28:39" x14ac:dyDescent="0.25">
      <c r="AB1017" s="258" t="str">
        <f t="shared" ref="AB1017:AB1080" si="26">IF(MAX(AC1017:AC2094)&lt;ROW(939:939),"",VLOOKUP(ROW(939:939),AC1017:AD2094,2))</f>
        <v/>
      </c>
      <c r="AC1017" s="259">
        <f>IF(COUNTIF(AD$78:AD1017,AD1017)=1,MAX(AC$78:AC1016)+1,"")</f>
        <v>111</v>
      </c>
      <c r="AD1017" s="220">
        <f>'[2]Изложницы без бурта'!B1017</f>
        <v>382.5</v>
      </c>
      <c r="AE1017" s="220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694</v>
      </c>
      <c r="AM1017" s="56">
        <f>'[2]Изложницы без бурта'!K1017</f>
        <v>0</v>
      </c>
    </row>
    <row r="1018" spans="28:39" x14ac:dyDescent="0.25">
      <c r="AB1018" s="258" t="str">
        <f t="shared" si="26"/>
        <v/>
      </c>
      <c r="AC1018" s="259">
        <f>IF(COUNTIF(AD$78:AD1018,AD1018)=1,MAX(AC$78:AC1017)+1,"")</f>
        <v>112</v>
      </c>
      <c r="AD1018" s="220">
        <f>'[2]Изложницы без бурта'!B1018</f>
        <v>385</v>
      </c>
      <c r="AE1018" s="220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695</v>
      </c>
      <c r="AM1018" s="56">
        <f>'[2]Изложницы без бурта'!K1018</f>
        <v>0</v>
      </c>
    </row>
    <row r="1019" spans="28:39" x14ac:dyDescent="0.25">
      <c r="AB1019" s="258" t="str">
        <f t="shared" si="26"/>
        <v/>
      </c>
      <c r="AC1019" s="259" t="str">
        <f>IF(COUNTIF(AD$78:AD1019,AD1019)=1,MAX(AC$78:AC1018)+1,"")</f>
        <v/>
      </c>
      <c r="AD1019" s="220">
        <f>'[2]Изложницы без бурта'!B1019</f>
        <v>385</v>
      </c>
      <c r="AE1019" s="220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695</v>
      </c>
      <c r="AM1019" s="56">
        <f>'[2]Изложницы без бурта'!K1019</f>
        <v>0</v>
      </c>
    </row>
    <row r="1020" spans="28:39" x14ac:dyDescent="0.25">
      <c r="AB1020" s="258" t="str">
        <f t="shared" si="26"/>
        <v/>
      </c>
      <c r="AC1020" s="259" t="str">
        <f>IF(COUNTIF(AD$78:AD1020,AD1020)=1,MAX(AC$78:AC1019)+1,"")</f>
        <v/>
      </c>
      <c r="AD1020" s="220">
        <f>'[2]Изложницы без бурта'!B1020</f>
        <v>385</v>
      </c>
      <c r="AE1020" s="220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695</v>
      </c>
      <c r="AM1020" s="56">
        <f>'[2]Изложницы без бурта'!K1020</f>
        <v>0</v>
      </c>
    </row>
    <row r="1021" spans="28:39" x14ac:dyDescent="0.25">
      <c r="AB1021" s="258" t="str">
        <f t="shared" si="26"/>
        <v/>
      </c>
      <c r="AC1021" s="259" t="str">
        <f>IF(COUNTIF(AD$78:AD1021,AD1021)=1,MAX(AC$78:AC1020)+1,"")</f>
        <v/>
      </c>
      <c r="AD1021" s="220">
        <f>'[2]Изложницы без бурта'!B1021</f>
        <v>385</v>
      </c>
      <c r="AE1021" s="220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695</v>
      </c>
      <c r="AM1021" s="56">
        <f>'[2]Изложницы без бурта'!K1021</f>
        <v>0</v>
      </c>
    </row>
    <row r="1022" spans="28:39" x14ac:dyDescent="0.25">
      <c r="AB1022" s="258" t="str">
        <f t="shared" si="26"/>
        <v/>
      </c>
      <c r="AC1022" s="259">
        <f>IF(COUNTIF(AD$78:AD1022,AD1022)=1,MAX(AC$78:AC1021)+1,"")</f>
        <v>113</v>
      </c>
      <c r="AD1022" s="220">
        <f>'[2]Изложницы без бурта'!B1022</f>
        <v>390</v>
      </c>
      <c r="AE1022" s="220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696</v>
      </c>
      <c r="AM1022" s="56">
        <f>'[2]Изложницы без бурта'!K1022</f>
        <v>0</v>
      </c>
    </row>
    <row r="1023" spans="28:39" x14ac:dyDescent="0.25">
      <c r="AB1023" s="258" t="str">
        <f t="shared" si="26"/>
        <v/>
      </c>
      <c r="AC1023" s="259" t="str">
        <f>IF(COUNTIF(AD$78:AD1023,AD1023)=1,MAX(AC$78:AC1022)+1,"")</f>
        <v/>
      </c>
      <c r="AD1023" s="220">
        <f>'[2]Изложницы без бурта'!B1023</f>
        <v>390</v>
      </c>
      <c r="AE1023" s="220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696</v>
      </c>
      <c r="AM1023" s="56">
        <f>'[2]Изложницы без бурта'!K1023</f>
        <v>0</v>
      </c>
    </row>
    <row r="1024" spans="28:39" x14ac:dyDescent="0.25">
      <c r="AB1024" s="258" t="str">
        <f t="shared" si="26"/>
        <v/>
      </c>
      <c r="AC1024" s="259">
        <f>IF(COUNTIF(AD$78:AD1024,AD1024)=1,MAX(AC$78:AC1023)+1,"")</f>
        <v>114</v>
      </c>
      <c r="AD1024" s="220">
        <f>'[2]Изложницы без бурта'!B1024</f>
        <v>392.5</v>
      </c>
      <c r="AE1024" s="220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697</v>
      </c>
      <c r="AM1024" s="56">
        <f>'[2]Изложницы без бурта'!K1024</f>
        <v>0</v>
      </c>
    </row>
    <row r="1025" spans="28:39" x14ac:dyDescent="0.25">
      <c r="AB1025" s="258" t="str">
        <f t="shared" si="26"/>
        <v/>
      </c>
      <c r="AC1025" s="259" t="str">
        <f>IF(COUNTIF(AD$78:AD1025,AD1025)=1,MAX(AC$78:AC1024)+1,"")</f>
        <v/>
      </c>
      <c r="AD1025" s="220">
        <f>'[2]Изложницы без бурта'!B1025</f>
        <v>392.5</v>
      </c>
      <c r="AE1025" s="220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697</v>
      </c>
      <c r="AM1025" s="56">
        <f>'[2]Изложницы без бурта'!K1025</f>
        <v>0</v>
      </c>
    </row>
    <row r="1026" spans="28:39" x14ac:dyDescent="0.25">
      <c r="AB1026" s="258" t="str">
        <f t="shared" si="26"/>
        <v/>
      </c>
      <c r="AC1026" s="259" t="str">
        <f>IF(COUNTIF(AD$78:AD1026,AD1026)=1,MAX(AC$78:AC1025)+1,"")</f>
        <v/>
      </c>
      <c r="AD1026" s="220">
        <f>'[2]Изложницы без бурта'!B1026</f>
        <v>392.5</v>
      </c>
      <c r="AE1026" s="220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697</v>
      </c>
      <c r="AM1026" s="56">
        <f>'[2]Изложницы без бурта'!K1026</f>
        <v>0</v>
      </c>
    </row>
    <row r="1027" spans="28:39" x14ac:dyDescent="0.25">
      <c r="AB1027" s="258" t="str">
        <f t="shared" si="26"/>
        <v/>
      </c>
      <c r="AC1027" s="259" t="str">
        <f>IF(COUNTIF(AD$78:AD1027,AD1027)=1,MAX(AC$78:AC1026)+1,"")</f>
        <v/>
      </c>
      <c r="AD1027" s="220">
        <f>'[2]Изложницы без бурта'!B1027</f>
        <v>392.5</v>
      </c>
      <c r="AE1027" s="220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697</v>
      </c>
      <c r="AM1027" s="56">
        <f>'[2]Изложницы без бурта'!K1027</f>
        <v>0</v>
      </c>
    </row>
    <row r="1028" spans="28:39" x14ac:dyDescent="0.25">
      <c r="AB1028" s="258" t="str">
        <f t="shared" si="26"/>
        <v/>
      </c>
      <c r="AC1028" s="259">
        <f>IF(COUNTIF(AD$78:AD1028,AD1028)=1,MAX(AC$78:AC1027)+1,"")</f>
        <v>115</v>
      </c>
      <c r="AD1028" s="220">
        <f>'[2]Изложницы без бурта'!B1028</f>
        <v>397.5</v>
      </c>
      <c r="AE1028" s="220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698</v>
      </c>
      <c r="AM1028" s="56">
        <f>'[2]Изложницы без бурта'!K1028</f>
        <v>0</v>
      </c>
    </row>
    <row r="1029" spans="28:39" x14ac:dyDescent="0.25">
      <c r="AB1029" s="258" t="str">
        <f t="shared" si="26"/>
        <v/>
      </c>
      <c r="AC1029" s="259" t="str">
        <f>IF(COUNTIF(AD$78:AD1029,AD1029)=1,MAX(AC$78:AC1028)+1,"")</f>
        <v/>
      </c>
      <c r="AD1029" s="220">
        <f>'[2]Изложницы без бурта'!B1029</f>
        <v>397.5</v>
      </c>
      <c r="AE1029" s="220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698</v>
      </c>
      <c r="AM1029" s="56">
        <f>'[2]Изложницы без бурта'!K1029</f>
        <v>0</v>
      </c>
    </row>
    <row r="1030" spans="28:39" x14ac:dyDescent="0.25">
      <c r="AB1030" s="258" t="str">
        <f t="shared" si="26"/>
        <v/>
      </c>
      <c r="AC1030" s="259">
        <f>IF(COUNTIF(AD$78:AD1030,AD1030)=1,MAX(AC$78:AC1029)+1,"")</f>
        <v>116</v>
      </c>
      <c r="AD1030" s="220">
        <f>'[2]Изложницы без бурта'!B1030</f>
        <v>405</v>
      </c>
      <c r="AE1030" s="220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699</v>
      </c>
      <c r="AM1030" s="56">
        <f>'[2]Изложницы без бурта'!K1030</f>
        <v>0</v>
      </c>
    </row>
    <row r="1031" spans="28:39" x14ac:dyDescent="0.25">
      <c r="AB1031" s="258" t="str">
        <f t="shared" si="26"/>
        <v/>
      </c>
      <c r="AC1031" s="259">
        <f>IF(COUNTIF(AD$78:AD1031,AD1031)=1,MAX(AC$78:AC1030)+1,"")</f>
        <v>117</v>
      </c>
      <c r="AD1031" s="220">
        <f>'[2]Изложницы без бурта'!B1031</f>
        <v>410</v>
      </c>
      <c r="AE1031" s="220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700</v>
      </c>
      <c r="AM1031" s="56">
        <f>'[2]Изложницы без бурта'!K1031</f>
        <v>0</v>
      </c>
    </row>
    <row r="1032" spans="28:39" x14ac:dyDescent="0.25">
      <c r="AB1032" s="258" t="str">
        <f t="shared" si="26"/>
        <v/>
      </c>
      <c r="AC1032" s="259">
        <f>IF(COUNTIF(AD$78:AD1032,AD1032)=1,MAX(AC$78:AC1031)+1,"")</f>
        <v>118</v>
      </c>
      <c r="AD1032" s="220">
        <f>'[2]Изложницы без бурта'!B1032</f>
        <v>412.5</v>
      </c>
      <c r="AE1032" s="220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701</v>
      </c>
      <c r="AM1032" s="56">
        <f>'[2]Изложницы без бурта'!K1032</f>
        <v>0</v>
      </c>
    </row>
    <row r="1033" spans="28:39" x14ac:dyDescent="0.25">
      <c r="AB1033" s="258" t="str">
        <f t="shared" si="26"/>
        <v/>
      </c>
      <c r="AC1033" s="259">
        <f>IF(COUNTIF(AD$78:AD1033,AD1033)=1,MAX(AC$78:AC1032)+1,"")</f>
        <v>119</v>
      </c>
      <c r="AD1033" s="220">
        <f>'[2]Изложницы без бурта'!B1033</f>
        <v>415</v>
      </c>
      <c r="AE1033" s="220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702</v>
      </c>
      <c r="AM1033" s="56">
        <f>'[2]Изложницы без бурта'!K1033</f>
        <v>0</v>
      </c>
    </row>
    <row r="1034" spans="28:39" x14ac:dyDescent="0.25">
      <c r="AB1034" s="258" t="str">
        <f t="shared" si="26"/>
        <v/>
      </c>
      <c r="AC1034" s="259" t="str">
        <f>IF(COUNTIF(AD$78:AD1034,AD1034)=1,MAX(AC$78:AC1033)+1,"")</f>
        <v/>
      </c>
      <c r="AD1034" s="220">
        <f>'[2]Изложницы без бурта'!B1034</f>
        <v>415</v>
      </c>
      <c r="AE1034" s="220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702</v>
      </c>
      <c r="AM1034" s="56">
        <f>'[2]Изложницы без бурта'!K1034</f>
        <v>0</v>
      </c>
    </row>
    <row r="1035" spans="28:39" x14ac:dyDescent="0.25">
      <c r="AB1035" s="258" t="str">
        <f t="shared" si="26"/>
        <v/>
      </c>
      <c r="AC1035" s="259" t="str">
        <f>IF(COUNTIF(AD$78:AD1035,AD1035)=1,MAX(AC$78:AC1034)+1,"")</f>
        <v/>
      </c>
      <c r="AD1035" s="220">
        <f>'[2]Изложницы без бурта'!B1035</f>
        <v>415</v>
      </c>
      <c r="AE1035" s="220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702</v>
      </c>
      <c r="AM1035" s="56">
        <f>'[2]Изложницы без бурта'!K1035</f>
        <v>0</v>
      </c>
    </row>
    <row r="1036" spans="28:39" x14ac:dyDescent="0.25">
      <c r="AB1036" s="258" t="str">
        <f t="shared" si="26"/>
        <v/>
      </c>
      <c r="AC1036" s="259">
        <f>IF(COUNTIF(AD$78:AD1036,AD1036)=1,MAX(AC$78:AC1035)+1,"")</f>
        <v>120</v>
      </c>
      <c r="AD1036" s="220">
        <f>'[2]Изложницы без бурта'!B1036</f>
        <v>417.5</v>
      </c>
      <c r="AE1036" s="220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703</v>
      </c>
      <c r="AM1036" s="56">
        <f>'[2]Изложницы без бурта'!K1036</f>
        <v>0</v>
      </c>
    </row>
    <row r="1037" spans="28:39" x14ac:dyDescent="0.25">
      <c r="AB1037" s="258" t="str">
        <f t="shared" si="26"/>
        <v/>
      </c>
      <c r="AC1037" s="259" t="str">
        <f>IF(COUNTIF(AD$78:AD1037,AD1037)=1,MAX(AC$78:AC1036)+1,"")</f>
        <v/>
      </c>
      <c r="AD1037" s="220">
        <f>'[2]Изложницы без бурта'!B1037</f>
        <v>417.5</v>
      </c>
      <c r="AE1037" s="220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703</v>
      </c>
      <c r="AM1037" s="56">
        <f>'[2]Изложницы без бурта'!K1037</f>
        <v>0</v>
      </c>
    </row>
    <row r="1038" spans="28:39" x14ac:dyDescent="0.25">
      <c r="AB1038" s="258" t="str">
        <f t="shared" si="26"/>
        <v/>
      </c>
      <c r="AC1038" s="259" t="str">
        <f>IF(COUNTIF(AD$78:AD1038,AD1038)=1,MAX(AC$78:AC1037)+1,"")</f>
        <v/>
      </c>
      <c r="AD1038" s="220">
        <f>'[2]Изложницы без бурта'!B1038</f>
        <v>417.5</v>
      </c>
      <c r="AE1038" s="220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703</v>
      </c>
      <c r="AM1038" s="56">
        <f>'[2]Изложницы без бурта'!K1038</f>
        <v>0</v>
      </c>
    </row>
    <row r="1039" spans="28:39" x14ac:dyDescent="0.25">
      <c r="AB1039" s="258" t="str">
        <f t="shared" si="26"/>
        <v/>
      </c>
      <c r="AC1039" s="259">
        <f>IF(COUNTIF(AD$78:AD1039,AD1039)=1,MAX(AC$78:AC1038)+1,"")</f>
        <v>121</v>
      </c>
      <c r="AD1039" s="220">
        <f>'[2]Изложницы без бурта'!B1039</f>
        <v>420</v>
      </c>
      <c r="AE1039" s="220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704</v>
      </c>
      <c r="AM1039" s="56">
        <f>'[2]Изложницы без бурта'!K1039</f>
        <v>0</v>
      </c>
    </row>
    <row r="1040" spans="28:39" x14ac:dyDescent="0.25">
      <c r="AB1040" s="258" t="str">
        <f t="shared" si="26"/>
        <v/>
      </c>
      <c r="AC1040" s="259" t="str">
        <f>IF(COUNTIF(AD$78:AD1040,AD1040)=1,MAX(AC$78:AC1039)+1,"")</f>
        <v/>
      </c>
      <c r="AD1040" s="220">
        <f>'[2]Изложницы без бурта'!B1040</f>
        <v>420</v>
      </c>
      <c r="AE1040" s="220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704</v>
      </c>
      <c r="AM1040" s="56">
        <f>'[2]Изложницы без бурта'!K1040</f>
        <v>0</v>
      </c>
    </row>
    <row r="1041" spans="28:39" x14ac:dyDescent="0.25">
      <c r="AB1041" s="258" t="str">
        <f t="shared" si="26"/>
        <v/>
      </c>
      <c r="AC1041" s="259" t="str">
        <f>IF(COUNTIF(AD$78:AD1041,AD1041)=1,MAX(AC$78:AC1040)+1,"")</f>
        <v/>
      </c>
      <c r="AD1041" s="220">
        <f>'[2]Изложницы без бурта'!B1041</f>
        <v>420</v>
      </c>
      <c r="AE1041" s="220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704</v>
      </c>
      <c r="AM1041" s="56">
        <f>'[2]Изложницы без бурта'!K1041</f>
        <v>0</v>
      </c>
    </row>
    <row r="1042" spans="28:39" x14ac:dyDescent="0.25">
      <c r="AB1042" s="258" t="str">
        <f t="shared" si="26"/>
        <v/>
      </c>
      <c r="AC1042" s="259" t="str">
        <f>IF(COUNTIF(AD$78:AD1042,AD1042)=1,MAX(AC$78:AC1041)+1,"")</f>
        <v/>
      </c>
      <c r="AD1042" s="220">
        <f>'[2]Изложницы без бурта'!B1042</f>
        <v>420</v>
      </c>
      <c r="AE1042" s="220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704</v>
      </c>
      <c r="AM1042" s="56">
        <f>'[2]Изложницы без бурта'!K1042</f>
        <v>0</v>
      </c>
    </row>
    <row r="1043" spans="28:39" x14ac:dyDescent="0.25">
      <c r="AB1043" s="258" t="str">
        <f t="shared" si="26"/>
        <v/>
      </c>
      <c r="AC1043" s="259" t="str">
        <f>IF(COUNTIF(AD$78:AD1043,AD1043)=1,MAX(AC$78:AC1042)+1,"")</f>
        <v/>
      </c>
      <c r="AD1043" s="220">
        <f>'[2]Изложницы без бурта'!B1043</f>
        <v>420</v>
      </c>
      <c r="AE1043" s="220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704</v>
      </c>
      <c r="AM1043" s="56">
        <f>'[2]Изложницы без бурта'!K1043</f>
        <v>0</v>
      </c>
    </row>
    <row r="1044" spans="28:39" x14ac:dyDescent="0.25">
      <c r="AB1044" s="258" t="str">
        <f t="shared" si="26"/>
        <v/>
      </c>
      <c r="AC1044" s="259" t="str">
        <f>IF(COUNTIF(AD$78:AD1044,AD1044)=1,MAX(AC$78:AC1043)+1,"")</f>
        <v/>
      </c>
      <c r="AD1044" s="220">
        <f>'[2]Изложницы без бурта'!B1044</f>
        <v>420</v>
      </c>
      <c r="AE1044" s="220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704</v>
      </c>
      <c r="AM1044" s="56">
        <f>'[2]Изложницы без бурта'!K1044</f>
        <v>0</v>
      </c>
    </row>
    <row r="1045" spans="28:39" x14ac:dyDescent="0.25">
      <c r="AB1045" s="258" t="str">
        <f t="shared" si="26"/>
        <v/>
      </c>
      <c r="AC1045" s="259" t="str">
        <f>IF(COUNTIF(AD$78:AD1045,AD1045)=1,MAX(AC$78:AC1044)+1,"")</f>
        <v/>
      </c>
      <c r="AD1045" s="220">
        <f>'[2]Изложницы без бурта'!B1045</f>
        <v>420</v>
      </c>
      <c r="AE1045" s="220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704</v>
      </c>
      <c r="AM1045" s="56">
        <f>'[2]Изложницы без бурта'!K1045</f>
        <v>0</v>
      </c>
    </row>
    <row r="1046" spans="28:39" x14ac:dyDescent="0.25">
      <c r="AB1046" s="258" t="str">
        <f t="shared" si="26"/>
        <v/>
      </c>
      <c r="AC1046" s="259" t="str">
        <f>IF(COUNTIF(AD$78:AD1046,AD1046)=1,MAX(AC$78:AC1045)+1,"")</f>
        <v/>
      </c>
      <c r="AD1046" s="220">
        <f>'[2]Изложницы без бурта'!B1046</f>
        <v>420</v>
      </c>
      <c r="AE1046" s="220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704</v>
      </c>
      <c r="AM1046" s="56">
        <f>'[2]Изложницы без бурта'!K1046</f>
        <v>0</v>
      </c>
    </row>
    <row r="1047" spans="28:39" x14ac:dyDescent="0.25">
      <c r="AB1047" s="258" t="str">
        <f t="shared" si="26"/>
        <v/>
      </c>
      <c r="AC1047" s="259" t="str">
        <f>IF(COUNTIF(AD$78:AD1047,AD1047)=1,MAX(AC$78:AC1046)+1,"")</f>
        <v/>
      </c>
      <c r="AD1047" s="220">
        <f>'[2]Изложницы без бурта'!B1047</f>
        <v>420</v>
      </c>
      <c r="AE1047" s="220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704</v>
      </c>
      <c r="AM1047" s="56">
        <f>'[2]Изложницы без бурта'!K1047</f>
        <v>0</v>
      </c>
    </row>
    <row r="1048" spans="28:39" x14ac:dyDescent="0.25">
      <c r="AB1048" s="258" t="str">
        <f t="shared" si="26"/>
        <v/>
      </c>
      <c r="AC1048" s="259">
        <f>IF(COUNTIF(AD$78:AD1048,AD1048)=1,MAX(AC$78:AC1047)+1,"")</f>
        <v>122</v>
      </c>
      <c r="AD1048" s="220">
        <f>'[2]Изложницы без бурта'!B1048</f>
        <v>425</v>
      </c>
      <c r="AE1048" s="220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705</v>
      </c>
      <c r="AM1048" s="56">
        <f>'[2]Изложницы без бурта'!K1048</f>
        <v>0</v>
      </c>
    </row>
    <row r="1049" spans="28:39" x14ac:dyDescent="0.25">
      <c r="AB1049" s="258" t="str">
        <f t="shared" si="26"/>
        <v/>
      </c>
      <c r="AC1049" s="259" t="str">
        <f>IF(COUNTIF(AD$78:AD1049,AD1049)=1,MAX(AC$78:AC1048)+1,"")</f>
        <v/>
      </c>
      <c r="AD1049" s="220">
        <f>'[2]Изложницы без бурта'!B1049</f>
        <v>425</v>
      </c>
      <c r="AE1049" s="220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705</v>
      </c>
      <c r="AM1049" s="56">
        <f>'[2]Изложницы без бурта'!K1049</f>
        <v>0</v>
      </c>
    </row>
    <row r="1050" spans="28:39" x14ac:dyDescent="0.25">
      <c r="AB1050" s="258" t="str">
        <f t="shared" si="26"/>
        <v/>
      </c>
      <c r="AC1050" s="259">
        <f>IF(COUNTIF(AD$78:AD1050,AD1050)=1,MAX(AC$78:AC1049)+1,"")</f>
        <v>123</v>
      </c>
      <c r="AD1050" s="220">
        <f>'[2]Изложницы без бурта'!B1050</f>
        <v>427.5</v>
      </c>
      <c r="AE1050" s="220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706</v>
      </c>
      <c r="AM1050" s="56">
        <f>'[2]Изложницы без бурта'!K1050</f>
        <v>0</v>
      </c>
    </row>
    <row r="1051" spans="28:39" x14ac:dyDescent="0.25">
      <c r="AB1051" s="258" t="str">
        <f t="shared" si="26"/>
        <v/>
      </c>
      <c r="AC1051" s="259" t="str">
        <f>IF(COUNTIF(AD$78:AD1051,AD1051)=1,MAX(AC$78:AC1050)+1,"")</f>
        <v/>
      </c>
      <c r="AD1051" s="220">
        <f>'[2]Изложницы без бурта'!B1051</f>
        <v>427.5</v>
      </c>
      <c r="AE1051" s="220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706</v>
      </c>
      <c r="AM1051" s="56">
        <f>'[2]Изложницы без бурта'!K1051</f>
        <v>0</v>
      </c>
    </row>
    <row r="1052" spans="28:39" x14ac:dyDescent="0.25">
      <c r="AB1052" s="258" t="str">
        <f t="shared" si="26"/>
        <v/>
      </c>
      <c r="AC1052" s="259">
        <f>IF(COUNTIF(AD$78:AD1052,AD1052)=1,MAX(AC$78:AC1051)+1,"")</f>
        <v>124</v>
      </c>
      <c r="AD1052" s="220">
        <f>'[2]Изложницы без бурта'!B1052</f>
        <v>430</v>
      </c>
      <c r="AE1052" s="220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707</v>
      </c>
      <c r="AM1052" s="56">
        <f>'[2]Изложницы без бурта'!K1052</f>
        <v>0</v>
      </c>
    </row>
    <row r="1053" spans="28:39" x14ac:dyDescent="0.25">
      <c r="AB1053" s="258" t="str">
        <f t="shared" si="26"/>
        <v/>
      </c>
      <c r="AC1053" s="259" t="str">
        <f>IF(COUNTIF(AD$78:AD1053,AD1053)=1,MAX(AC$78:AC1052)+1,"")</f>
        <v/>
      </c>
      <c r="AD1053" s="220">
        <f>'[2]Изложницы без бурта'!B1053</f>
        <v>430</v>
      </c>
      <c r="AE1053" s="220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707</v>
      </c>
      <c r="AM1053" s="56">
        <f>'[2]Изложницы без бурта'!K1053</f>
        <v>0</v>
      </c>
    </row>
    <row r="1054" spans="28:39" x14ac:dyDescent="0.25">
      <c r="AB1054" s="258" t="str">
        <f t="shared" si="26"/>
        <v/>
      </c>
      <c r="AC1054" s="259" t="str">
        <f>IF(COUNTIF(AD$78:AD1054,AD1054)=1,MAX(AC$78:AC1053)+1,"")</f>
        <v/>
      </c>
      <c r="AD1054" s="220">
        <f>'[2]Изложницы без бурта'!B1054</f>
        <v>430</v>
      </c>
      <c r="AE1054" s="220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707</v>
      </c>
      <c r="AM1054" s="56">
        <f>'[2]Изложницы без бурта'!K1054</f>
        <v>0</v>
      </c>
    </row>
    <row r="1055" spans="28:39" x14ac:dyDescent="0.25">
      <c r="AB1055" s="258" t="str">
        <f t="shared" si="26"/>
        <v/>
      </c>
      <c r="AC1055" s="259">
        <f>IF(COUNTIF(AD$78:AD1055,AD1055)=1,MAX(AC$78:AC1054)+1,"")</f>
        <v>125</v>
      </c>
      <c r="AD1055" s="220">
        <f>'[2]Изложницы без бурта'!B1055</f>
        <v>432.5</v>
      </c>
      <c r="AE1055" s="220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708</v>
      </c>
      <c r="AM1055" s="56">
        <f>'[2]Изложницы без бурта'!K1055</f>
        <v>0</v>
      </c>
    </row>
    <row r="1056" spans="28:39" x14ac:dyDescent="0.25">
      <c r="AB1056" s="258" t="str">
        <f t="shared" si="26"/>
        <v/>
      </c>
      <c r="AC1056" s="259">
        <f>IF(COUNTIF(AD$78:AD1056,AD1056)=1,MAX(AC$78:AC1055)+1,"")</f>
        <v>126</v>
      </c>
      <c r="AD1056" s="220">
        <f>'[2]Изложницы без бурта'!B1056</f>
        <v>440</v>
      </c>
      <c r="AE1056" s="220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709</v>
      </c>
      <c r="AM1056" s="56">
        <f>'[2]Изложницы без бурта'!K1056</f>
        <v>0</v>
      </c>
    </row>
    <row r="1057" spans="28:39" x14ac:dyDescent="0.25">
      <c r="AB1057" s="258" t="str">
        <f t="shared" si="26"/>
        <v/>
      </c>
      <c r="AC1057" s="259" t="str">
        <f>IF(COUNTIF(AD$78:AD1057,AD1057)=1,MAX(AC$78:AC1056)+1,"")</f>
        <v/>
      </c>
      <c r="AD1057" s="220">
        <f>'[2]Изложницы без бурта'!B1057</f>
        <v>440</v>
      </c>
      <c r="AE1057" s="220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709</v>
      </c>
      <c r="AM1057" s="56">
        <f>'[2]Изложницы без бурта'!K1057</f>
        <v>0</v>
      </c>
    </row>
    <row r="1058" spans="28:39" x14ac:dyDescent="0.25">
      <c r="AB1058" s="258" t="str">
        <f t="shared" si="26"/>
        <v/>
      </c>
      <c r="AC1058" s="259" t="str">
        <f>IF(COUNTIF(AD$78:AD1058,AD1058)=1,MAX(AC$78:AC1057)+1,"")</f>
        <v/>
      </c>
      <c r="AD1058" s="220">
        <f>'[2]Изложницы без бурта'!B1058</f>
        <v>440</v>
      </c>
      <c r="AE1058" s="220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709</v>
      </c>
      <c r="AM1058" s="56">
        <f>'[2]Изложницы без бурта'!K1058</f>
        <v>0</v>
      </c>
    </row>
    <row r="1059" spans="28:39" x14ac:dyDescent="0.25">
      <c r="AB1059" s="258" t="str">
        <f t="shared" si="26"/>
        <v/>
      </c>
      <c r="AC1059" s="259" t="str">
        <f>IF(COUNTIF(AD$78:AD1059,AD1059)=1,MAX(AC$78:AC1058)+1,"")</f>
        <v/>
      </c>
      <c r="AD1059" s="220">
        <f>'[2]Изложницы без бурта'!B1059</f>
        <v>440</v>
      </c>
      <c r="AE1059" s="220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709</v>
      </c>
      <c r="AM1059" s="56">
        <f>'[2]Изложницы без бурта'!K1059</f>
        <v>0</v>
      </c>
    </row>
    <row r="1060" spans="28:39" x14ac:dyDescent="0.25">
      <c r="AB1060" s="258" t="str">
        <f t="shared" si="26"/>
        <v/>
      </c>
      <c r="AC1060" s="259" t="str">
        <f>IF(COUNTIF(AD$78:AD1060,AD1060)=1,MAX(AC$78:AC1059)+1,"")</f>
        <v/>
      </c>
      <c r="AD1060" s="220">
        <f>'[2]Изложницы без бурта'!B1060</f>
        <v>440</v>
      </c>
      <c r="AE1060" s="220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709</v>
      </c>
      <c r="AM1060" s="56">
        <f>'[2]Изложницы без бурта'!K1060</f>
        <v>0</v>
      </c>
    </row>
    <row r="1061" spans="28:39" x14ac:dyDescent="0.25">
      <c r="AB1061" s="258" t="str">
        <f t="shared" si="26"/>
        <v/>
      </c>
      <c r="AC1061" s="259">
        <f>IF(COUNTIF(AD$78:AD1061,AD1061)=1,MAX(AC$78:AC1060)+1,"")</f>
        <v>127</v>
      </c>
      <c r="AD1061" s="220">
        <f>'[2]Изложницы без бурта'!B1061</f>
        <v>442.5</v>
      </c>
      <c r="AE1061" s="220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710</v>
      </c>
      <c r="AM1061" s="56">
        <f>'[2]Изложницы без бурта'!K1061</f>
        <v>0</v>
      </c>
    </row>
    <row r="1062" spans="28:39" x14ac:dyDescent="0.25">
      <c r="AB1062" s="258" t="str">
        <f t="shared" si="26"/>
        <v/>
      </c>
      <c r="AC1062" s="259" t="str">
        <f>IF(COUNTIF(AD$78:AD1062,AD1062)=1,MAX(AC$78:AC1061)+1,"")</f>
        <v/>
      </c>
      <c r="AD1062" s="220">
        <f>'[2]Изложницы без бурта'!B1062</f>
        <v>442.5</v>
      </c>
      <c r="AE1062" s="220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710</v>
      </c>
      <c r="AM1062" s="56">
        <f>'[2]Изложницы без бурта'!K1062</f>
        <v>0</v>
      </c>
    </row>
    <row r="1063" spans="28:39" x14ac:dyDescent="0.25">
      <c r="AB1063" s="258" t="str">
        <f t="shared" si="26"/>
        <v/>
      </c>
      <c r="AC1063" s="259">
        <f>IF(COUNTIF(AD$78:AD1063,AD1063)=1,MAX(AC$78:AC1062)+1,"")</f>
        <v>128</v>
      </c>
      <c r="AD1063" s="220">
        <f>'[2]Изложницы без бурта'!B1063</f>
        <v>445</v>
      </c>
      <c r="AE1063" s="220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711</v>
      </c>
      <c r="AM1063" s="56">
        <f>'[2]Изложницы без бурта'!K1063</f>
        <v>0</v>
      </c>
    </row>
    <row r="1064" spans="28:39" x14ac:dyDescent="0.25">
      <c r="AB1064" s="258" t="str">
        <f t="shared" si="26"/>
        <v/>
      </c>
      <c r="AC1064" s="259" t="str">
        <f>IF(COUNTIF(AD$78:AD1064,AD1064)=1,MAX(AC$78:AC1063)+1,"")</f>
        <v/>
      </c>
      <c r="AD1064" s="220">
        <f>'[2]Изложницы без бурта'!B1064</f>
        <v>445</v>
      </c>
      <c r="AE1064" s="220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711</v>
      </c>
      <c r="AM1064" s="56">
        <f>'[2]Изложницы без бурта'!K1064</f>
        <v>0</v>
      </c>
    </row>
    <row r="1065" spans="28:39" x14ac:dyDescent="0.25">
      <c r="AB1065" s="258" t="str">
        <f t="shared" si="26"/>
        <v/>
      </c>
      <c r="AC1065" s="259" t="str">
        <f>IF(COUNTIF(AD$78:AD1065,AD1065)=1,MAX(AC$78:AC1064)+1,"")</f>
        <v/>
      </c>
      <c r="AD1065" s="220">
        <f>'[2]Изложницы без бурта'!B1065</f>
        <v>445</v>
      </c>
      <c r="AE1065" s="220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711</v>
      </c>
      <c r="AM1065" s="56">
        <f>'[2]Изложницы без бурта'!K1065</f>
        <v>0</v>
      </c>
    </row>
    <row r="1066" spans="28:39" x14ac:dyDescent="0.25">
      <c r="AB1066" s="258" t="str">
        <f t="shared" si="26"/>
        <v/>
      </c>
      <c r="AC1066" s="259" t="str">
        <f>IF(COUNTIF(AD$78:AD1066,AD1066)=1,MAX(AC$78:AC1065)+1,"")</f>
        <v/>
      </c>
      <c r="AD1066" s="220">
        <f>'[2]Изложницы без бурта'!B1066</f>
        <v>445</v>
      </c>
      <c r="AE1066" s="220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711</v>
      </c>
      <c r="AM1066" s="56">
        <f>'[2]Изложницы без бурта'!K1066</f>
        <v>0</v>
      </c>
    </row>
    <row r="1067" spans="28:39" x14ac:dyDescent="0.25">
      <c r="AB1067" s="258" t="str">
        <f t="shared" si="26"/>
        <v/>
      </c>
      <c r="AC1067" s="259" t="str">
        <f>IF(COUNTIF(AD$78:AD1067,AD1067)=1,MAX(AC$78:AC1066)+1,"")</f>
        <v/>
      </c>
      <c r="AD1067" s="220">
        <f>'[2]Изложницы без бурта'!B1067</f>
        <v>445</v>
      </c>
      <c r="AE1067" s="220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8" t="str">
        <f t="shared" si="26"/>
        <v/>
      </c>
      <c r="AC1068" s="259">
        <f>IF(COUNTIF(AD$78:AD1068,AD1068)=1,MAX(AC$78:AC1067)+1,"")</f>
        <v>129</v>
      </c>
      <c r="AD1068" s="220">
        <f>'[2]Изложницы без бурта'!B1068</f>
        <v>447.5</v>
      </c>
      <c r="AE1068" s="220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712</v>
      </c>
      <c r="AM1068" s="56">
        <f>'[2]Изложницы без бурта'!K1068</f>
        <v>0</v>
      </c>
    </row>
    <row r="1069" spans="28:39" x14ac:dyDescent="0.25">
      <c r="AB1069" s="258" t="str">
        <f t="shared" si="26"/>
        <v/>
      </c>
      <c r="AC1069" s="259">
        <f>IF(COUNTIF(AD$78:AD1069,AD1069)=1,MAX(AC$78:AC1068)+1,"")</f>
        <v>130</v>
      </c>
      <c r="AD1069" s="220">
        <f>'[2]Изложницы без бурта'!B1069</f>
        <v>457.5</v>
      </c>
      <c r="AE1069" s="220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713</v>
      </c>
      <c r="AM1069" s="56">
        <f>'[2]Изложницы без бурта'!K1069</f>
        <v>0</v>
      </c>
    </row>
    <row r="1070" spans="28:39" x14ac:dyDescent="0.25">
      <c r="AB1070" s="258" t="str">
        <f t="shared" si="26"/>
        <v/>
      </c>
      <c r="AC1070" s="259">
        <f>IF(COUNTIF(AD$78:AD1070,AD1070)=1,MAX(AC$78:AC1069)+1,"")</f>
        <v>131</v>
      </c>
      <c r="AD1070" s="220">
        <f>'[2]Изложницы без бурта'!B1070</f>
        <v>460</v>
      </c>
      <c r="AE1070" s="220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714</v>
      </c>
      <c r="AM1070" s="56">
        <f>'[2]Изложницы без бурта'!K1070</f>
        <v>0</v>
      </c>
    </row>
    <row r="1071" spans="28:39" x14ac:dyDescent="0.25">
      <c r="AB1071" s="258" t="str">
        <f t="shared" si="26"/>
        <v/>
      </c>
      <c r="AC1071" s="259">
        <f>IF(COUNTIF(AD$78:AD1071,AD1071)=1,MAX(AC$78:AC1070)+1,"")</f>
        <v>132</v>
      </c>
      <c r="AD1071" s="220">
        <f>'[2]Изложницы без бурта'!B1071</f>
        <v>475</v>
      </c>
      <c r="AE1071" s="220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715</v>
      </c>
      <c r="AM1071" s="56">
        <f>'[2]Изложницы без бурта'!K1071</f>
        <v>0</v>
      </c>
    </row>
    <row r="1072" spans="28:39" x14ac:dyDescent="0.25">
      <c r="AB1072" s="258" t="str">
        <f t="shared" si="26"/>
        <v/>
      </c>
      <c r="AC1072" s="259" t="str">
        <f>IF(COUNTIF(AD$78:AD1072,AD1072)=1,MAX(AC$78:AC1071)+1,"")</f>
        <v/>
      </c>
      <c r="AD1072" s="220">
        <f>'[2]Изложницы без бурта'!B1072</f>
        <v>475</v>
      </c>
      <c r="AE1072" s="220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715</v>
      </c>
      <c r="AM1072" s="56">
        <f>'[2]Изложницы без бурта'!K1072</f>
        <v>0</v>
      </c>
    </row>
    <row r="1073" spans="28:39" x14ac:dyDescent="0.25">
      <c r="AB1073" s="258" t="str">
        <f t="shared" si="26"/>
        <v/>
      </c>
      <c r="AC1073" s="259">
        <f>IF(COUNTIF(AD$78:AD1073,AD1073)=1,MAX(AC$78:AC1072)+1,"")</f>
        <v>133</v>
      </c>
      <c r="AD1073" s="220">
        <f>'[2]Изложницы без бурта'!B1073</f>
        <v>480</v>
      </c>
      <c r="AE1073" s="220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716</v>
      </c>
      <c r="AM1073" s="56">
        <f>'[2]Изложницы без бурта'!K1073</f>
        <v>0</v>
      </c>
    </row>
    <row r="1074" spans="28:39" x14ac:dyDescent="0.25">
      <c r="AB1074" s="258" t="str">
        <f t="shared" si="26"/>
        <v/>
      </c>
      <c r="AC1074" s="259" t="str">
        <f>IF(COUNTIF(AD$78:AD1074,AD1074)=1,MAX(AC$78:AC1073)+1,"")</f>
        <v/>
      </c>
      <c r="AD1074" s="220">
        <f>'[2]Изложницы без бурта'!B1074</f>
        <v>480</v>
      </c>
      <c r="AE1074" s="220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716</v>
      </c>
      <c r="AM1074" s="56">
        <f>'[2]Изложницы без бурта'!K1074</f>
        <v>0</v>
      </c>
    </row>
    <row r="1075" spans="28:39" x14ac:dyDescent="0.25">
      <c r="AB1075" s="258" t="str">
        <f t="shared" si="26"/>
        <v/>
      </c>
      <c r="AC1075" s="259">
        <f>IF(COUNTIF(AD$78:AD1075,AD1075)=1,MAX(AC$78:AC1074)+1,"")</f>
        <v>134</v>
      </c>
      <c r="AD1075" s="220">
        <f>'[2]Изложницы без бурта'!B1075</f>
        <v>482.5</v>
      </c>
      <c r="AE1075" s="220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717</v>
      </c>
      <c r="AM1075" s="56">
        <f>'[2]Изложницы без бурта'!K1075</f>
        <v>0</v>
      </c>
    </row>
    <row r="1076" spans="28:39" x14ac:dyDescent="0.25">
      <c r="AB1076" s="258" t="str">
        <f t="shared" si="26"/>
        <v/>
      </c>
      <c r="AC1076" s="259">
        <f>IF(COUNTIF(AD$78:AD1076,AD1076)=1,MAX(AC$78:AC1075)+1,"")</f>
        <v>135</v>
      </c>
      <c r="AD1076" s="220">
        <f>'[2]Изложницы без бурта'!B1076</f>
        <v>495</v>
      </c>
      <c r="AE1076" s="220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718</v>
      </c>
      <c r="AM1076" s="56">
        <f>'[2]Изложницы без бурта'!K1076</f>
        <v>0</v>
      </c>
    </row>
    <row r="1077" spans="28:39" x14ac:dyDescent="0.25">
      <c r="AB1077" s="258" t="str">
        <f t="shared" si="26"/>
        <v/>
      </c>
      <c r="AC1077" s="259" t="str">
        <f>IF(COUNTIF(AD$78:AD1077,AD1077)=1,MAX(AC$78:AC1076)+1,"")</f>
        <v/>
      </c>
      <c r="AD1077" s="220">
        <f>'[2]Изложницы без бурта'!B1077</f>
        <v>495</v>
      </c>
      <c r="AE1077" s="220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718</v>
      </c>
      <c r="AM1077" s="56">
        <f>'[2]Изложницы без бурта'!K1077</f>
        <v>0</v>
      </c>
    </row>
    <row r="1078" spans="28:39" x14ac:dyDescent="0.25">
      <c r="AB1078" s="258" t="str">
        <f t="shared" si="26"/>
        <v/>
      </c>
      <c r="AC1078" s="259">
        <f>IF(COUNTIF(AD$78:AD1078,AD1078)=1,MAX(AC$78:AC1077)+1,"")</f>
        <v>136</v>
      </c>
      <c r="AD1078" s="220">
        <f>'[2]Изложницы без бурта'!B1078</f>
        <v>500</v>
      </c>
      <c r="AE1078" s="220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719</v>
      </c>
      <c r="AM1078" s="56">
        <f>'[2]Изложницы без бурта'!K1078</f>
        <v>0</v>
      </c>
    </row>
    <row r="1079" spans="28:39" x14ac:dyDescent="0.25">
      <c r="AB1079" s="258" t="str">
        <f t="shared" si="26"/>
        <v/>
      </c>
      <c r="AC1079" s="259" t="str">
        <f>IF(COUNTIF(AD$78:AD1079,AD1079)=1,MAX(AC$78:AC1078)+1,"")</f>
        <v/>
      </c>
      <c r="AD1079" s="220">
        <f>'[2]Изложницы без бурта'!B1079</f>
        <v>500</v>
      </c>
      <c r="AE1079" s="220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719</v>
      </c>
      <c r="AM1079" s="56">
        <f>'[2]Изложницы без бурта'!K1079</f>
        <v>0</v>
      </c>
    </row>
    <row r="1080" spans="28:39" x14ac:dyDescent="0.25">
      <c r="AB1080" s="258" t="str">
        <f t="shared" si="26"/>
        <v/>
      </c>
      <c r="AC1080" s="259" t="str">
        <f>IF(COUNTIF(AD$78:AD1080,AD1080)=1,MAX(AC$78:AC1079)+1,"")</f>
        <v/>
      </c>
      <c r="AD1080" s="220">
        <f>'[2]Изложницы без бурта'!B1080</f>
        <v>500</v>
      </c>
      <c r="AE1080" s="220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719</v>
      </c>
      <c r="AM1080" s="56">
        <f>'[2]Изложницы без бурта'!K1080</f>
        <v>0</v>
      </c>
    </row>
    <row r="1081" spans="28:39" x14ac:dyDescent="0.25">
      <c r="AB1081" s="258" t="str">
        <f t="shared" ref="AB1081:AB1144" si="27">IF(MAX(AC1081:AC2158)&lt;ROW(1003:1003),"",VLOOKUP(ROW(1003:1003),AC1081:AD2158,2))</f>
        <v/>
      </c>
      <c r="AC1081" s="259" t="str">
        <f>IF(COUNTIF(AD$78:AD1081,AD1081)=1,MAX(AC$78:AC1080)+1,"")</f>
        <v/>
      </c>
      <c r="AD1081" s="220">
        <f>'[2]Изложницы без бурта'!B1081</f>
        <v>500</v>
      </c>
      <c r="AE1081" s="220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719</v>
      </c>
      <c r="AM1081" s="56">
        <f>'[2]Изложницы без бурта'!K1081</f>
        <v>0</v>
      </c>
    </row>
    <row r="1082" spans="28:39" x14ac:dyDescent="0.25">
      <c r="AB1082" s="258" t="str">
        <f t="shared" si="27"/>
        <v/>
      </c>
      <c r="AC1082" s="259">
        <f>IF(COUNTIF(AD$78:AD1082,AD1082)=1,MAX(AC$78:AC1081)+1,"")</f>
        <v>137</v>
      </c>
      <c r="AD1082" s="220">
        <f>'[2]Изложницы без бурта'!B1082</f>
        <v>502.5</v>
      </c>
      <c r="AE1082" s="220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720</v>
      </c>
      <c r="AM1082" s="56">
        <f>'[2]Изложницы без бурта'!K1082</f>
        <v>0</v>
      </c>
    </row>
    <row r="1083" spans="28:39" x14ac:dyDescent="0.25">
      <c r="AB1083" s="258" t="str">
        <f t="shared" si="27"/>
        <v/>
      </c>
      <c r="AC1083" s="259">
        <f>IF(COUNTIF(AD$78:AD1083,AD1083)=1,MAX(AC$78:AC1082)+1,"")</f>
        <v>138</v>
      </c>
      <c r="AD1083" s="220">
        <f>'[2]Изложницы без бурта'!B1083</f>
        <v>505</v>
      </c>
      <c r="AE1083" s="220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721</v>
      </c>
      <c r="AM1083" s="56">
        <f>'[2]Изложницы без бурта'!K1083</f>
        <v>0</v>
      </c>
    </row>
    <row r="1084" spans="28:39" x14ac:dyDescent="0.25">
      <c r="AB1084" s="258" t="str">
        <f t="shared" si="27"/>
        <v/>
      </c>
      <c r="AC1084" s="259" t="str">
        <f>IF(COUNTIF(AD$78:AD1084,AD1084)=1,MAX(AC$78:AC1083)+1,"")</f>
        <v/>
      </c>
      <c r="AD1084" s="220">
        <f>'[2]Изложницы без бурта'!B1084</f>
        <v>505</v>
      </c>
      <c r="AE1084" s="220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721</v>
      </c>
      <c r="AM1084" s="56">
        <f>'[2]Изложницы без бурта'!K1084</f>
        <v>0</v>
      </c>
    </row>
    <row r="1085" spans="28:39" x14ac:dyDescent="0.25">
      <c r="AB1085" s="258" t="str">
        <f t="shared" si="27"/>
        <v/>
      </c>
      <c r="AC1085" s="259">
        <f>IF(COUNTIF(AD$78:AD1085,AD1085)=1,MAX(AC$78:AC1084)+1,"")</f>
        <v>139</v>
      </c>
      <c r="AD1085" s="220">
        <f>'[2]Изложницы без бурта'!B1085</f>
        <v>507.5</v>
      </c>
      <c r="AE1085" s="220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722</v>
      </c>
      <c r="AM1085" s="56">
        <f>'[2]Изложницы без бурта'!K1085</f>
        <v>0</v>
      </c>
    </row>
    <row r="1086" spans="28:39" x14ac:dyDescent="0.25">
      <c r="AB1086" s="258" t="str">
        <f t="shared" si="27"/>
        <v/>
      </c>
      <c r="AC1086" s="259" t="str">
        <f>IF(COUNTIF(AD$78:AD1086,AD1086)=1,MAX(AC$78:AC1085)+1,"")</f>
        <v/>
      </c>
      <c r="AD1086" s="220">
        <f>'[2]Изложницы без бурта'!B1086</f>
        <v>507.5</v>
      </c>
      <c r="AE1086" s="220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722</v>
      </c>
      <c r="AM1086" s="56">
        <f>'[2]Изложницы без бурта'!K1086</f>
        <v>0</v>
      </c>
    </row>
    <row r="1087" spans="28:39" x14ac:dyDescent="0.25">
      <c r="AB1087" s="258" t="str">
        <f t="shared" si="27"/>
        <v/>
      </c>
      <c r="AC1087" s="259">
        <f>IF(COUNTIF(AD$78:AD1087,AD1087)=1,MAX(AC$78:AC1086)+1,"")</f>
        <v>140</v>
      </c>
      <c r="AD1087" s="220">
        <f>'[2]Изложницы без бурта'!B1087</f>
        <v>510</v>
      </c>
      <c r="AE1087" s="220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723</v>
      </c>
      <c r="AM1087" s="56">
        <f>'[2]Изложницы без бурта'!K1087</f>
        <v>0</v>
      </c>
    </row>
    <row r="1088" spans="28:39" x14ac:dyDescent="0.25">
      <c r="AB1088" s="258" t="str">
        <f t="shared" si="27"/>
        <v/>
      </c>
      <c r="AC1088" s="259" t="str">
        <f>IF(COUNTIF(AD$78:AD1088,AD1088)=1,MAX(AC$78:AC1087)+1,"")</f>
        <v/>
      </c>
      <c r="AD1088" s="220">
        <f>'[2]Изложницы без бурта'!B1088</f>
        <v>510</v>
      </c>
      <c r="AE1088" s="220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723</v>
      </c>
      <c r="AM1088" s="56">
        <f>'[2]Изложницы без бурта'!K1088</f>
        <v>0</v>
      </c>
    </row>
    <row r="1089" spans="28:39" x14ac:dyDescent="0.25">
      <c r="AB1089" s="258" t="str">
        <f t="shared" si="27"/>
        <v/>
      </c>
      <c r="AC1089" s="259" t="str">
        <f>IF(COUNTIF(AD$78:AD1089,AD1089)=1,MAX(AC$78:AC1088)+1,"")</f>
        <v/>
      </c>
      <c r="AD1089" s="220">
        <f>'[2]Изложницы без бурта'!B1089</f>
        <v>510</v>
      </c>
      <c r="AE1089" s="220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723</v>
      </c>
      <c r="AM1089" s="56">
        <f>'[2]Изложницы без бурта'!K1089</f>
        <v>0</v>
      </c>
    </row>
    <row r="1090" spans="28:39" x14ac:dyDescent="0.25">
      <c r="AB1090" s="258" t="str">
        <f t="shared" si="27"/>
        <v/>
      </c>
      <c r="AC1090" s="259" t="str">
        <f>IF(COUNTIF(AD$78:AD1090,AD1090)=1,MAX(AC$78:AC1089)+1,"")</f>
        <v/>
      </c>
      <c r="AD1090" s="220">
        <f>'[2]Изложницы без бурта'!B1090</f>
        <v>510</v>
      </c>
      <c r="AE1090" s="220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723</v>
      </c>
      <c r="AM1090" s="56">
        <f>'[2]Изложницы без бурта'!K1090</f>
        <v>0</v>
      </c>
    </row>
    <row r="1091" spans="28:39" x14ac:dyDescent="0.25">
      <c r="AB1091" s="258" t="str">
        <f t="shared" si="27"/>
        <v/>
      </c>
      <c r="AC1091" s="259">
        <f>IF(COUNTIF(AD$78:AD1091,AD1091)=1,MAX(AC$78:AC1090)+1,"")</f>
        <v>141</v>
      </c>
      <c r="AD1091" s="220">
        <f>'[2]Изложницы без бурта'!B1091</f>
        <v>515</v>
      </c>
      <c r="AE1091" s="220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724</v>
      </c>
      <c r="AM1091" s="56">
        <f>'[2]Изложницы без бурта'!K1091</f>
        <v>0</v>
      </c>
    </row>
    <row r="1092" spans="28:39" x14ac:dyDescent="0.25">
      <c r="AB1092" s="258" t="str">
        <f t="shared" si="27"/>
        <v/>
      </c>
      <c r="AC1092" s="259">
        <f>IF(COUNTIF(AD$78:AD1092,AD1092)=1,MAX(AC$78:AC1091)+1,"")</f>
        <v>142</v>
      </c>
      <c r="AD1092" s="220">
        <f>'[2]Изложницы без бурта'!B1092</f>
        <v>517.5</v>
      </c>
      <c r="AE1092" s="220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725</v>
      </c>
      <c r="AM1092" s="56">
        <f>'[2]Изложницы без бурта'!K1092</f>
        <v>0</v>
      </c>
    </row>
    <row r="1093" spans="28:39" x14ac:dyDescent="0.25">
      <c r="AB1093" s="258" t="str">
        <f t="shared" si="27"/>
        <v/>
      </c>
      <c r="AC1093" s="259">
        <f>IF(COUNTIF(AD$78:AD1093,AD1093)=1,MAX(AC$78:AC1092)+1,"")</f>
        <v>143</v>
      </c>
      <c r="AD1093" s="220">
        <f>'[2]Изложницы без бурта'!B1093</f>
        <v>520</v>
      </c>
      <c r="AE1093" s="220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726</v>
      </c>
      <c r="AM1093" s="56">
        <f>'[2]Изложницы без бурта'!K1093</f>
        <v>0</v>
      </c>
    </row>
    <row r="1094" spans="28:39" x14ac:dyDescent="0.25">
      <c r="AB1094" s="258" t="str">
        <f t="shared" si="27"/>
        <v/>
      </c>
      <c r="AC1094" s="259" t="str">
        <f>IF(COUNTIF(AD$78:AD1094,AD1094)=1,MAX(AC$78:AC1093)+1,"")</f>
        <v/>
      </c>
      <c r="AD1094" s="220">
        <f>'[2]Изложницы без бурта'!B1094</f>
        <v>520</v>
      </c>
      <c r="AE1094" s="220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726</v>
      </c>
      <c r="AM1094" s="56">
        <f>'[2]Изложницы без бурта'!K1094</f>
        <v>0</v>
      </c>
    </row>
    <row r="1095" spans="28:39" x14ac:dyDescent="0.25">
      <c r="AB1095" s="258" t="str">
        <f t="shared" si="27"/>
        <v/>
      </c>
      <c r="AC1095" s="259" t="str">
        <f>IF(COUNTIF(AD$78:AD1095,AD1095)=1,MAX(AC$78:AC1094)+1,"")</f>
        <v/>
      </c>
      <c r="AD1095" s="220">
        <f>'[2]Изложницы без бурта'!B1095</f>
        <v>520</v>
      </c>
      <c r="AE1095" s="220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726</v>
      </c>
      <c r="AM1095" s="56">
        <f>'[2]Изложницы без бурта'!K1095</f>
        <v>0</v>
      </c>
    </row>
    <row r="1096" spans="28:39" x14ac:dyDescent="0.25">
      <c r="AB1096" s="258" t="str">
        <f t="shared" si="27"/>
        <v/>
      </c>
      <c r="AC1096" s="259">
        <f>IF(COUNTIF(AD$78:AD1096,AD1096)=1,MAX(AC$78:AC1095)+1,"")</f>
        <v>144</v>
      </c>
      <c r="AD1096" s="220">
        <f>'[2]Изложницы без бурта'!B1096</f>
        <v>522.5</v>
      </c>
      <c r="AE1096" s="220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727</v>
      </c>
      <c r="AM1096" s="56">
        <f>'[2]Изложницы без бурта'!K1096</f>
        <v>0</v>
      </c>
    </row>
    <row r="1097" spans="28:39" x14ac:dyDescent="0.25">
      <c r="AB1097" s="258" t="str">
        <f t="shared" si="27"/>
        <v/>
      </c>
      <c r="AC1097" s="259" t="str">
        <f>IF(COUNTIF(AD$78:AD1097,AD1097)=1,MAX(AC$78:AC1096)+1,"")</f>
        <v/>
      </c>
      <c r="AD1097" s="220">
        <f>'[2]Изложницы без бурта'!B1097</f>
        <v>522.5</v>
      </c>
      <c r="AE1097" s="220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727</v>
      </c>
      <c r="AM1097" s="56">
        <f>'[2]Изложницы без бурта'!K1097</f>
        <v>0</v>
      </c>
    </row>
    <row r="1098" spans="28:39" x14ac:dyDescent="0.25">
      <c r="AB1098" s="258" t="str">
        <f t="shared" si="27"/>
        <v/>
      </c>
      <c r="AC1098" s="259">
        <f>IF(COUNTIF(AD$78:AD1098,AD1098)=1,MAX(AC$78:AC1097)+1,"")</f>
        <v>145</v>
      </c>
      <c r="AD1098" s="220">
        <f>'[2]Изложницы без бурта'!B1098</f>
        <v>525</v>
      </c>
      <c r="AE1098" s="220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728</v>
      </c>
      <c r="AM1098" s="56">
        <f>'[2]Изложницы без бурта'!K1098</f>
        <v>0</v>
      </c>
    </row>
    <row r="1099" spans="28:39" x14ac:dyDescent="0.25">
      <c r="AB1099" s="258" t="str">
        <f t="shared" si="27"/>
        <v/>
      </c>
      <c r="AC1099" s="259" t="str">
        <f>IF(COUNTIF(AD$78:AD1099,AD1099)=1,MAX(AC$78:AC1098)+1,"")</f>
        <v/>
      </c>
      <c r="AD1099" s="220">
        <f>'[2]Изложницы без бурта'!B1099</f>
        <v>525</v>
      </c>
      <c r="AE1099" s="220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728</v>
      </c>
      <c r="AM1099" s="56">
        <f>'[2]Изложницы без бурта'!K1099</f>
        <v>0</v>
      </c>
    </row>
    <row r="1100" spans="28:39" x14ac:dyDescent="0.25">
      <c r="AB1100" s="258" t="str">
        <f t="shared" si="27"/>
        <v/>
      </c>
      <c r="AC1100" s="259">
        <f>IF(COUNTIF(AD$78:AD1100,AD1100)=1,MAX(AC$78:AC1099)+1,"")</f>
        <v>146</v>
      </c>
      <c r="AD1100" s="220">
        <f>'[2]Изложницы без бурта'!B1100</f>
        <v>527.5</v>
      </c>
      <c r="AE1100" s="220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729</v>
      </c>
      <c r="AM1100" s="56">
        <f>'[2]Изложницы без бурта'!K1100</f>
        <v>0</v>
      </c>
    </row>
    <row r="1101" spans="28:39" x14ac:dyDescent="0.25">
      <c r="AB1101" s="258" t="str">
        <f t="shared" si="27"/>
        <v/>
      </c>
      <c r="AC1101" s="259" t="str">
        <f>IF(COUNTIF(AD$78:AD1101,AD1101)=1,MAX(AC$78:AC1100)+1,"")</f>
        <v/>
      </c>
      <c r="AD1101" s="220">
        <f>'[2]Изложницы без бурта'!B1101</f>
        <v>527.5</v>
      </c>
      <c r="AE1101" s="220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729</v>
      </c>
      <c r="AM1101" s="56">
        <f>'[2]Изложницы без бурта'!K1101</f>
        <v>0</v>
      </c>
    </row>
    <row r="1102" spans="28:39" x14ac:dyDescent="0.25">
      <c r="AB1102" s="258" t="str">
        <f t="shared" si="27"/>
        <v/>
      </c>
      <c r="AC1102" s="259">
        <f>IF(COUNTIF(AD$78:AD1102,AD1102)=1,MAX(AC$78:AC1101)+1,"")</f>
        <v>147</v>
      </c>
      <c r="AD1102" s="220">
        <f>'[2]Изложницы без бурта'!B1102</f>
        <v>530</v>
      </c>
      <c r="AE1102" s="220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730</v>
      </c>
      <c r="AM1102" s="56">
        <f>'[2]Изложницы без бурта'!K1102</f>
        <v>0</v>
      </c>
    </row>
    <row r="1103" spans="28:39" x14ac:dyDescent="0.25">
      <c r="AB1103" s="258" t="str">
        <f t="shared" si="27"/>
        <v/>
      </c>
      <c r="AC1103" s="259" t="str">
        <f>IF(COUNTIF(AD$78:AD1103,AD1103)=1,MAX(AC$78:AC1102)+1,"")</f>
        <v/>
      </c>
      <c r="AD1103" s="220">
        <f>'[2]Изложницы без бурта'!B1103</f>
        <v>530</v>
      </c>
      <c r="AE1103" s="220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730</v>
      </c>
      <c r="AM1103" s="56">
        <f>'[2]Изложницы без бурта'!K1103</f>
        <v>0</v>
      </c>
    </row>
    <row r="1104" spans="28:39" x14ac:dyDescent="0.25">
      <c r="AB1104" s="258" t="str">
        <f t="shared" si="27"/>
        <v/>
      </c>
      <c r="AC1104" s="259">
        <f>IF(COUNTIF(AD$78:AD1104,AD1104)=1,MAX(AC$78:AC1103)+1,"")</f>
        <v>148</v>
      </c>
      <c r="AD1104" s="220">
        <f>'[2]Изложницы без бурта'!B1104</f>
        <v>532.5</v>
      </c>
      <c r="AE1104" s="220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731</v>
      </c>
      <c r="AM1104" s="56">
        <f>'[2]Изложницы без бурта'!K1104</f>
        <v>0</v>
      </c>
    </row>
    <row r="1105" spans="28:39" x14ac:dyDescent="0.25">
      <c r="AB1105" s="258" t="str">
        <f t="shared" si="27"/>
        <v/>
      </c>
      <c r="AC1105" s="259">
        <f>IF(COUNTIF(AD$78:AD1105,AD1105)=1,MAX(AC$78:AC1104)+1,"")</f>
        <v>149</v>
      </c>
      <c r="AD1105" s="220">
        <f>'[2]Изложницы без бурта'!B1105</f>
        <v>535</v>
      </c>
      <c r="AE1105" s="220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732</v>
      </c>
      <c r="AM1105" s="56">
        <f>'[2]Изложницы без бурта'!K1105</f>
        <v>0</v>
      </c>
    </row>
    <row r="1106" spans="28:39" x14ac:dyDescent="0.25">
      <c r="AB1106" s="258" t="str">
        <f t="shared" si="27"/>
        <v/>
      </c>
      <c r="AC1106" s="259">
        <f>IF(COUNTIF(AD$78:AD1106,AD1106)=1,MAX(AC$78:AC1105)+1,"")</f>
        <v>150</v>
      </c>
      <c r="AD1106" s="220">
        <f>'[2]Изложницы без бурта'!B1106</f>
        <v>537.5</v>
      </c>
      <c r="AE1106" s="220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733</v>
      </c>
      <c r="AM1106" s="56">
        <f>'[2]Изложницы без бурта'!K1106</f>
        <v>0</v>
      </c>
    </row>
    <row r="1107" spans="28:39" x14ac:dyDescent="0.25">
      <c r="AB1107" s="258" t="str">
        <f t="shared" si="27"/>
        <v/>
      </c>
      <c r="AC1107" s="259">
        <f>IF(COUNTIF(AD$78:AD1107,AD1107)=1,MAX(AC$78:AC1106)+1,"")</f>
        <v>151</v>
      </c>
      <c r="AD1107" s="220">
        <f>'[2]Изложницы без бурта'!B1107</f>
        <v>545</v>
      </c>
      <c r="AE1107" s="220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734</v>
      </c>
      <c r="AM1107" s="56">
        <f>'[2]Изложницы без бурта'!K1107</f>
        <v>0</v>
      </c>
    </row>
    <row r="1108" spans="28:39" x14ac:dyDescent="0.25">
      <c r="AB1108" s="258" t="str">
        <f t="shared" si="27"/>
        <v/>
      </c>
      <c r="AC1108" s="259">
        <f>IF(COUNTIF(AD$78:AD1108,AD1108)=1,MAX(AC$78:AC1107)+1,"")</f>
        <v>152</v>
      </c>
      <c r="AD1108" s="220">
        <f>'[2]Изложницы без бурта'!B1108</f>
        <v>547.5</v>
      </c>
      <c r="AE1108" s="220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735</v>
      </c>
      <c r="AM1108" s="56">
        <f>'[2]Изложницы без бурта'!K1108</f>
        <v>0</v>
      </c>
    </row>
    <row r="1109" spans="28:39" x14ac:dyDescent="0.25">
      <c r="AB1109" s="258" t="str">
        <f t="shared" si="27"/>
        <v/>
      </c>
      <c r="AC1109" s="259">
        <f>IF(COUNTIF(AD$78:AD1109,AD1109)=1,MAX(AC$78:AC1108)+1,"")</f>
        <v>153</v>
      </c>
      <c r="AD1109" s="220">
        <f>'[2]Изложницы без бурта'!B1109</f>
        <v>555</v>
      </c>
      <c r="AE1109" s="220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736</v>
      </c>
      <c r="AM1109" s="56">
        <f>'[2]Изложницы без бурта'!K1109</f>
        <v>0</v>
      </c>
    </row>
    <row r="1110" spans="28:39" x14ac:dyDescent="0.25">
      <c r="AB1110" s="258" t="str">
        <f t="shared" si="27"/>
        <v/>
      </c>
      <c r="AC1110" s="259" t="str">
        <f>IF(COUNTIF(AD$78:AD1110,AD1110)=1,MAX(AC$78:AC1109)+1,"")</f>
        <v/>
      </c>
      <c r="AD1110" s="220">
        <f>'[2]Изложницы без бурта'!B1110</f>
        <v>555</v>
      </c>
      <c r="AE1110" s="220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736</v>
      </c>
      <c r="AM1110" s="56">
        <f>'[2]Изложницы без бурта'!K1110</f>
        <v>0</v>
      </c>
    </row>
    <row r="1111" spans="28:39" x14ac:dyDescent="0.25">
      <c r="AB1111" s="258" t="str">
        <f t="shared" si="27"/>
        <v/>
      </c>
      <c r="AC1111" s="259" t="str">
        <f>IF(COUNTIF(AD$78:AD1111,AD1111)=1,MAX(AC$78:AC1110)+1,"")</f>
        <v/>
      </c>
      <c r="AD1111" s="220">
        <f>'[2]Изложницы без бурта'!B1111</f>
        <v>555</v>
      </c>
      <c r="AE1111" s="220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736</v>
      </c>
      <c r="AM1111" s="56">
        <f>'[2]Изложницы без бурта'!K1111</f>
        <v>0</v>
      </c>
    </row>
    <row r="1112" spans="28:39" x14ac:dyDescent="0.25">
      <c r="AB1112" s="258" t="str">
        <f t="shared" si="27"/>
        <v/>
      </c>
      <c r="AC1112" s="259">
        <f>IF(COUNTIF(AD$78:AD1112,AD1112)=1,MAX(AC$78:AC1111)+1,"")</f>
        <v>154</v>
      </c>
      <c r="AD1112" s="220">
        <f>'[2]Изложницы без бурта'!B1112</f>
        <v>560</v>
      </c>
      <c r="AE1112" s="220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737</v>
      </c>
      <c r="AM1112" s="56">
        <f>'[2]Изложницы без бурта'!K1112</f>
        <v>0</v>
      </c>
    </row>
    <row r="1113" spans="28:39" x14ac:dyDescent="0.25">
      <c r="AB1113" s="258" t="str">
        <f t="shared" si="27"/>
        <v/>
      </c>
      <c r="AC1113" s="259">
        <f>IF(COUNTIF(AD$78:AD1113,AD1113)=1,MAX(AC$78:AC1112)+1,"")</f>
        <v>155</v>
      </c>
      <c r="AD1113" s="220">
        <f>'[2]Изложницы без бурта'!B1113</f>
        <v>565</v>
      </c>
      <c r="AE1113" s="220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738</v>
      </c>
      <c r="AM1113" s="56">
        <f>'[2]Изложницы без бурта'!K1113</f>
        <v>0</v>
      </c>
    </row>
    <row r="1114" spans="28:39" x14ac:dyDescent="0.25">
      <c r="AB1114" s="258" t="str">
        <f t="shared" si="27"/>
        <v/>
      </c>
      <c r="AC1114" s="259" t="str">
        <f>IF(COUNTIF(AD$78:AD1114,AD1114)=1,MAX(AC$78:AC1113)+1,"")</f>
        <v/>
      </c>
      <c r="AD1114" s="220">
        <f>'[2]Изложницы без бурта'!B1114</f>
        <v>565</v>
      </c>
      <c r="AE1114" s="220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738</v>
      </c>
      <c r="AM1114" s="56">
        <f>'[2]Изложницы без бурта'!K1114</f>
        <v>0</v>
      </c>
    </row>
    <row r="1115" spans="28:39" x14ac:dyDescent="0.25">
      <c r="AB1115" s="258" t="str">
        <f t="shared" si="27"/>
        <v/>
      </c>
      <c r="AC1115" s="259">
        <f>IF(COUNTIF(AD$78:AD1115,AD1115)=1,MAX(AC$78:AC1114)+1,"")</f>
        <v>156</v>
      </c>
      <c r="AD1115" s="220">
        <f>'[2]Изложницы без бурта'!B1115</f>
        <v>572.5</v>
      </c>
      <c r="AE1115" s="220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739</v>
      </c>
      <c r="AM1115" s="56">
        <f>'[2]Изложницы без бурта'!K1115</f>
        <v>0</v>
      </c>
    </row>
    <row r="1116" spans="28:39" x14ac:dyDescent="0.25">
      <c r="AB1116" s="258" t="str">
        <f t="shared" si="27"/>
        <v/>
      </c>
      <c r="AC1116" s="259">
        <f>IF(COUNTIF(AD$78:AD1116,AD1116)=1,MAX(AC$78:AC1115)+1,"")</f>
        <v>157</v>
      </c>
      <c r="AD1116" s="220">
        <f>'[2]Изложницы без бурта'!B1116</f>
        <v>575</v>
      </c>
      <c r="AE1116" s="220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740</v>
      </c>
      <c r="AM1116" s="56">
        <f>'[2]Изложницы без бурта'!K1116</f>
        <v>0</v>
      </c>
    </row>
    <row r="1117" spans="28:39" x14ac:dyDescent="0.25">
      <c r="AB1117" s="258" t="str">
        <f t="shared" si="27"/>
        <v/>
      </c>
      <c r="AC1117" s="259" t="str">
        <f>IF(COUNTIF(AD$78:AD1117,AD1117)=1,MAX(AC$78:AC1116)+1,"")</f>
        <v/>
      </c>
      <c r="AD1117" s="220">
        <f>'[2]Изложницы без бурта'!B1117</f>
        <v>575</v>
      </c>
      <c r="AE1117" s="220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740</v>
      </c>
      <c r="AM1117" s="56">
        <f>'[2]Изложницы без бурта'!K1117</f>
        <v>0</v>
      </c>
    </row>
    <row r="1118" spans="28:39" x14ac:dyDescent="0.25">
      <c r="AB1118" s="258" t="str">
        <f t="shared" si="27"/>
        <v/>
      </c>
      <c r="AC1118" s="259">
        <f>IF(COUNTIF(AD$78:AD1118,AD1118)=1,MAX(AC$78:AC1117)+1,"")</f>
        <v>158</v>
      </c>
      <c r="AD1118" s="220">
        <f>'[2]Изложницы без бурта'!B1118</f>
        <v>580</v>
      </c>
      <c r="AE1118" s="220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741</v>
      </c>
      <c r="AM1118" s="56">
        <f>'[2]Изложницы без бурта'!K1118</f>
        <v>0</v>
      </c>
    </row>
    <row r="1119" spans="28:39" x14ac:dyDescent="0.25">
      <c r="AB1119" s="258" t="str">
        <f t="shared" si="27"/>
        <v/>
      </c>
      <c r="AC1119" s="259">
        <f>IF(COUNTIF(AD$78:AD1119,AD1119)=1,MAX(AC$78:AC1118)+1,"")</f>
        <v>159</v>
      </c>
      <c r="AD1119" s="220">
        <f>'[2]Изложницы без бурта'!B1119</f>
        <v>585</v>
      </c>
      <c r="AE1119" s="220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742</v>
      </c>
      <c r="AM1119" s="56">
        <f>'[2]Изложницы без бурта'!K1119</f>
        <v>0</v>
      </c>
    </row>
    <row r="1120" spans="28:39" x14ac:dyDescent="0.25">
      <c r="AB1120" s="258" t="str">
        <f t="shared" si="27"/>
        <v/>
      </c>
      <c r="AC1120" s="259" t="str">
        <f>IF(COUNTIF(AD$78:AD1120,AD1120)=1,MAX(AC$78:AC1119)+1,"")</f>
        <v/>
      </c>
      <c r="AD1120" s="220">
        <f>'[2]Изложницы без бурта'!B1120</f>
        <v>585</v>
      </c>
      <c r="AE1120" s="220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742</v>
      </c>
      <c r="AM1120" s="56">
        <f>'[2]Изложницы без бурта'!K1120</f>
        <v>0</v>
      </c>
    </row>
    <row r="1121" spans="28:39" x14ac:dyDescent="0.25">
      <c r="AB1121" s="258" t="str">
        <f t="shared" si="27"/>
        <v/>
      </c>
      <c r="AC1121" s="259">
        <f>IF(COUNTIF(AD$78:AD1121,AD1121)=1,MAX(AC$78:AC1120)+1,"")</f>
        <v>160</v>
      </c>
      <c r="AD1121" s="220">
        <f>'[2]Изложницы без бурта'!B1121</f>
        <v>590</v>
      </c>
      <c r="AE1121" s="220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743</v>
      </c>
      <c r="AM1121" s="56">
        <f>'[2]Изложницы без бурта'!K1121</f>
        <v>0</v>
      </c>
    </row>
    <row r="1122" spans="28:39" x14ac:dyDescent="0.25">
      <c r="AB1122" s="258" t="str">
        <f t="shared" si="27"/>
        <v/>
      </c>
      <c r="AC1122" s="259">
        <f>IF(COUNTIF(AD$78:AD1122,AD1122)=1,MAX(AC$78:AC1121)+1,"")</f>
        <v>161</v>
      </c>
      <c r="AD1122" s="220">
        <f>'[2]Изложницы без бурта'!B1122</f>
        <v>592.5</v>
      </c>
      <c r="AE1122" s="220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744</v>
      </c>
      <c r="AM1122" s="56">
        <f>'[2]Изложницы без бурта'!K1122</f>
        <v>0</v>
      </c>
    </row>
    <row r="1123" spans="28:39" x14ac:dyDescent="0.25">
      <c r="AB1123" s="258" t="str">
        <f t="shared" si="27"/>
        <v/>
      </c>
      <c r="AC1123" s="259">
        <f>IF(COUNTIF(AD$78:AD1123,AD1123)=1,MAX(AC$78:AC1122)+1,"")</f>
        <v>162</v>
      </c>
      <c r="AD1123" s="220">
        <f>'[2]Изложницы без бурта'!B1123</f>
        <v>595</v>
      </c>
      <c r="AE1123" s="220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745</v>
      </c>
      <c r="AM1123" s="56">
        <f>'[2]Изложницы без бурта'!K1123</f>
        <v>0</v>
      </c>
    </row>
    <row r="1124" spans="28:39" x14ac:dyDescent="0.25">
      <c r="AB1124" s="258" t="str">
        <f t="shared" si="27"/>
        <v/>
      </c>
      <c r="AC1124" s="259">
        <f>IF(COUNTIF(AD$78:AD1124,AD1124)=1,MAX(AC$78:AC1123)+1,"")</f>
        <v>163</v>
      </c>
      <c r="AD1124" s="220">
        <f>'[2]Изложницы без бурта'!B1124</f>
        <v>597.5</v>
      </c>
      <c r="AE1124" s="220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746</v>
      </c>
      <c r="AM1124" s="56">
        <f>'[2]Изложницы без бурта'!K1124</f>
        <v>0</v>
      </c>
    </row>
    <row r="1125" spans="28:39" x14ac:dyDescent="0.25">
      <c r="AB1125" s="258" t="str">
        <f t="shared" si="27"/>
        <v/>
      </c>
      <c r="AC1125" s="259">
        <f>IF(COUNTIF(AD$78:AD1125,AD1125)=1,MAX(AC$78:AC1124)+1,"")</f>
        <v>164</v>
      </c>
      <c r="AD1125" s="220">
        <f>'[2]Изложницы без бурта'!B1125</f>
        <v>600</v>
      </c>
      <c r="AE1125" s="220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747</v>
      </c>
      <c r="AM1125" s="56">
        <f>'[2]Изложницы без бурта'!K1125</f>
        <v>0</v>
      </c>
    </row>
    <row r="1126" spans="28:39" x14ac:dyDescent="0.25">
      <c r="AB1126" s="258" t="str">
        <f t="shared" si="27"/>
        <v/>
      </c>
      <c r="AC1126" s="259">
        <f>IF(COUNTIF(AD$78:AD1126,AD1126)=1,MAX(AC$78:AC1125)+1,"")</f>
        <v>165</v>
      </c>
      <c r="AD1126" s="220">
        <f>'[2]Изложницы без бурта'!B1126</f>
        <v>610</v>
      </c>
      <c r="AE1126" s="220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748</v>
      </c>
      <c r="AM1126" s="56">
        <f>'[2]Изложницы без бурта'!K1126</f>
        <v>0</v>
      </c>
    </row>
    <row r="1127" spans="28:39" x14ac:dyDescent="0.25">
      <c r="AB1127" s="258" t="str">
        <f t="shared" si="27"/>
        <v/>
      </c>
      <c r="AC1127" s="259" t="str">
        <f>IF(COUNTIF(AD$78:AD1127,AD1127)=1,MAX(AC$78:AC1126)+1,"")</f>
        <v/>
      </c>
      <c r="AD1127" s="220">
        <f>'[2]Изложницы без бурта'!B1127</f>
        <v>610</v>
      </c>
      <c r="AE1127" s="220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748</v>
      </c>
      <c r="AM1127" s="56">
        <f>'[2]Изложницы без бурта'!K1127</f>
        <v>0</v>
      </c>
    </row>
    <row r="1128" spans="28:39" x14ac:dyDescent="0.25">
      <c r="AB1128" s="258" t="str">
        <f t="shared" si="27"/>
        <v/>
      </c>
      <c r="AC1128" s="259">
        <f>IF(COUNTIF(AD$78:AD1128,AD1128)=1,MAX(AC$78:AC1127)+1,"")</f>
        <v>166</v>
      </c>
      <c r="AD1128" s="220">
        <f>'[2]Изложницы без бурта'!B1128</f>
        <v>620</v>
      </c>
      <c r="AE1128" s="220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749</v>
      </c>
      <c r="AM1128" s="56">
        <f>'[2]Изложницы без бурта'!K1128</f>
        <v>0</v>
      </c>
    </row>
    <row r="1129" spans="28:39" x14ac:dyDescent="0.25">
      <c r="AB1129" s="258" t="str">
        <f t="shared" si="27"/>
        <v/>
      </c>
      <c r="AC1129" s="259">
        <f>IF(COUNTIF(AD$78:AD1129,AD1129)=1,MAX(AC$78:AC1128)+1,"")</f>
        <v>167</v>
      </c>
      <c r="AD1129" s="220">
        <f>'[2]Изложницы без бурта'!B1129</f>
        <v>622.5</v>
      </c>
      <c r="AE1129" s="220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750</v>
      </c>
      <c r="AM1129" s="56">
        <f>'[2]Изложницы без бурта'!K1129</f>
        <v>0</v>
      </c>
    </row>
    <row r="1130" spans="28:39" x14ac:dyDescent="0.25">
      <c r="AB1130" s="258" t="str">
        <f t="shared" si="27"/>
        <v/>
      </c>
      <c r="AC1130" s="259">
        <f>IF(COUNTIF(AD$78:AD1130,AD1130)=1,MAX(AC$78:AC1129)+1,"")</f>
        <v>168</v>
      </c>
      <c r="AD1130" s="220">
        <f>'[2]Изложницы без бурта'!B1130</f>
        <v>625</v>
      </c>
      <c r="AE1130" s="220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751</v>
      </c>
      <c r="AM1130" s="56">
        <f>'[2]Изложницы без бурта'!K1130</f>
        <v>0</v>
      </c>
    </row>
    <row r="1131" spans="28:39" x14ac:dyDescent="0.25">
      <c r="AB1131" s="258" t="str">
        <f t="shared" si="27"/>
        <v/>
      </c>
      <c r="AC1131" s="259">
        <f>IF(COUNTIF(AD$78:AD1131,AD1131)=1,MAX(AC$78:AC1130)+1,"")</f>
        <v>169</v>
      </c>
      <c r="AD1131" s="220">
        <f>'[2]Изложницы без бурта'!B1131</f>
        <v>627.5</v>
      </c>
      <c r="AE1131" s="220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752</v>
      </c>
      <c r="AM1131" s="56">
        <f>'[2]Изложницы без бурта'!K1131</f>
        <v>0</v>
      </c>
    </row>
    <row r="1132" spans="28:39" x14ac:dyDescent="0.25">
      <c r="AB1132" s="258" t="str">
        <f t="shared" si="27"/>
        <v/>
      </c>
      <c r="AC1132" s="259">
        <f>IF(COUNTIF(AD$78:AD1132,AD1132)=1,MAX(AC$78:AC1131)+1,"")</f>
        <v>170</v>
      </c>
      <c r="AD1132" s="220">
        <f>'[2]Изложницы без бурта'!B1132</f>
        <v>630</v>
      </c>
      <c r="AE1132" s="220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753</v>
      </c>
      <c r="AM1132" s="56">
        <f>'[2]Изложницы без бурта'!K1132</f>
        <v>0</v>
      </c>
    </row>
    <row r="1133" spans="28:39" x14ac:dyDescent="0.25">
      <c r="AB1133" s="258" t="str">
        <f t="shared" si="27"/>
        <v/>
      </c>
      <c r="AC1133" s="259">
        <f>IF(COUNTIF(AD$78:AD1133,AD1133)=1,MAX(AC$78:AC1132)+1,"")</f>
        <v>171</v>
      </c>
      <c r="AD1133" s="220">
        <f>'[2]Изложницы без бурта'!B1133</f>
        <v>635</v>
      </c>
      <c r="AE1133" s="220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754</v>
      </c>
      <c r="AM1133" s="56">
        <f>'[2]Изложницы без бурта'!K1133</f>
        <v>0</v>
      </c>
    </row>
    <row r="1134" spans="28:39" x14ac:dyDescent="0.25">
      <c r="AB1134" s="258" t="str">
        <f t="shared" si="27"/>
        <v/>
      </c>
      <c r="AC1134" s="259" t="str">
        <f>IF(COUNTIF(AD$78:AD1134,AD1134)=1,MAX(AC$78:AC1133)+1,"")</f>
        <v/>
      </c>
      <c r="AD1134" s="220">
        <f>'[2]Изложницы без бурта'!B1134</f>
        <v>635</v>
      </c>
      <c r="AE1134" s="220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754</v>
      </c>
      <c r="AM1134" s="56">
        <f>'[2]Изложницы без бурта'!K1134</f>
        <v>0</v>
      </c>
    </row>
    <row r="1135" spans="28:39" x14ac:dyDescent="0.25">
      <c r="AB1135" s="258" t="str">
        <f t="shared" si="27"/>
        <v/>
      </c>
      <c r="AC1135" s="259">
        <f>IF(COUNTIF(AD$78:AD1135,AD1135)=1,MAX(AC$78:AC1134)+1,"")</f>
        <v>172</v>
      </c>
      <c r="AD1135" s="220">
        <f>'[2]Изложницы без бурта'!B1135</f>
        <v>637.5</v>
      </c>
      <c r="AE1135" s="220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755</v>
      </c>
      <c r="AM1135" s="56">
        <f>'[2]Изложницы без бурта'!K1135</f>
        <v>0</v>
      </c>
    </row>
    <row r="1136" spans="28:39" x14ac:dyDescent="0.25">
      <c r="AB1136" s="258" t="str">
        <f t="shared" si="27"/>
        <v/>
      </c>
      <c r="AC1136" s="259">
        <f>IF(COUNTIF(AD$78:AD1136,AD1136)=1,MAX(AC$78:AC1135)+1,"")</f>
        <v>173</v>
      </c>
      <c r="AD1136" s="220">
        <f>'[2]Изложницы без бурта'!B1136</f>
        <v>642.5</v>
      </c>
      <c r="AE1136" s="220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1218</v>
      </c>
      <c r="AM1136" s="56">
        <f>'[2]Изложницы без бурта'!K1136</f>
        <v>0</v>
      </c>
    </row>
    <row r="1137" spans="28:39" x14ac:dyDescent="0.25">
      <c r="AB1137" s="258" t="str">
        <f t="shared" si="27"/>
        <v/>
      </c>
      <c r="AC1137" s="259">
        <f>IF(COUNTIF(AD$78:AD1137,AD1137)=1,MAX(AC$78:AC1136)+1,"")</f>
        <v>174</v>
      </c>
      <c r="AD1137" s="220">
        <f>'[2]Изложницы без бурта'!B1137</f>
        <v>650</v>
      </c>
      <c r="AE1137" s="220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756</v>
      </c>
      <c r="AM1137" s="56">
        <f>'[2]Изложницы без бурта'!K1137</f>
        <v>0</v>
      </c>
    </row>
    <row r="1138" spans="28:39" x14ac:dyDescent="0.25">
      <c r="AB1138" s="258" t="str">
        <f t="shared" si="27"/>
        <v/>
      </c>
      <c r="AC1138" s="259" t="str">
        <f>IF(COUNTIF(AD$78:AD1138,AD1138)=1,MAX(AC$78:AC1137)+1,"")</f>
        <v/>
      </c>
      <c r="AD1138" s="220">
        <f>'[2]Изложницы без бурта'!B1138</f>
        <v>650</v>
      </c>
      <c r="AE1138" s="220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756</v>
      </c>
      <c r="AM1138" s="56">
        <f>'[2]Изложницы без бурта'!K1138</f>
        <v>0</v>
      </c>
    </row>
    <row r="1139" spans="28:39" x14ac:dyDescent="0.25">
      <c r="AB1139" s="258" t="str">
        <f t="shared" si="27"/>
        <v/>
      </c>
      <c r="AC1139" s="259" t="str">
        <f>IF(COUNTIF(AD$78:AD1139,AD1139)=1,MAX(AC$78:AC1138)+1,"")</f>
        <v/>
      </c>
      <c r="AD1139" s="220">
        <f>'[2]Изложницы без бурта'!B1139</f>
        <v>650</v>
      </c>
      <c r="AE1139" s="220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756</v>
      </c>
      <c r="AM1139" s="56">
        <f>'[2]Изложницы без бурта'!K1139</f>
        <v>0</v>
      </c>
    </row>
    <row r="1140" spans="28:39" x14ac:dyDescent="0.25">
      <c r="AB1140" s="258" t="str">
        <f t="shared" si="27"/>
        <v/>
      </c>
      <c r="AC1140" s="259" t="str">
        <f>IF(COUNTIF(AD$78:AD1140,AD1140)=1,MAX(AC$78:AC1139)+1,"")</f>
        <v/>
      </c>
      <c r="AD1140" s="220">
        <f>'[2]Изложницы без бурта'!B1140</f>
        <v>650</v>
      </c>
      <c r="AE1140" s="220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756</v>
      </c>
      <c r="AM1140" s="56">
        <f>'[2]Изложницы без бурта'!K1140</f>
        <v>0</v>
      </c>
    </row>
    <row r="1141" spans="28:39" x14ac:dyDescent="0.25">
      <c r="AB1141" s="258" t="str">
        <f t="shared" si="27"/>
        <v/>
      </c>
      <c r="AC1141" s="259">
        <f>IF(COUNTIF(AD$78:AD1141,AD1141)=1,MAX(AC$78:AC1140)+1,"")</f>
        <v>175</v>
      </c>
      <c r="AD1141" s="220">
        <f>'[2]Изложницы без бурта'!B1141</f>
        <v>652.5</v>
      </c>
      <c r="AE1141" s="220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757</v>
      </c>
      <c r="AM1141" s="56">
        <f>'[2]Изложницы без бурта'!K1141</f>
        <v>0</v>
      </c>
    </row>
    <row r="1142" spans="28:39" x14ac:dyDescent="0.25">
      <c r="AB1142" s="258" t="str">
        <f t="shared" si="27"/>
        <v/>
      </c>
      <c r="AC1142" s="259" t="str">
        <f>IF(COUNTIF(AD$78:AD1142,AD1142)=1,MAX(AC$78:AC1141)+1,"")</f>
        <v/>
      </c>
      <c r="AD1142" s="220">
        <f>'[2]Изложницы без бурта'!B1142</f>
        <v>652.5</v>
      </c>
      <c r="AE1142" s="220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757</v>
      </c>
      <c r="AM1142" s="56">
        <f>'[2]Изложницы без бурта'!K1142</f>
        <v>0</v>
      </c>
    </row>
    <row r="1143" spans="28:39" x14ac:dyDescent="0.25">
      <c r="AB1143" s="258" t="str">
        <f t="shared" si="27"/>
        <v/>
      </c>
      <c r="AC1143" s="259">
        <f>IF(COUNTIF(AD$78:AD1143,AD1143)=1,MAX(AC$78:AC1142)+1,"")</f>
        <v>176</v>
      </c>
      <c r="AD1143" s="220">
        <f>'[2]Изложницы без бурта'!B1143</f>
        <v>655</v>
      </c>
      <c r="AE1143" s="220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758</v>
      </c>
      <c r="AM1143" s="56">
        <f>'[2]Изложницы без бурта'!K1143</f>
        <v>0</v>
      </c>
    </row>
    <row r="1144" spans="28:39" x14ac:dyDescent="0.25">
      <c r="AB1144" s="258" t="str">
        <f t="shared" si="27"/>
        <v/>
      </c>
      <c r="AC1144" s="259" t="str">
        <f>IF(COUNTIF(AD$78:AD1144,AD1144)=1,MAX(AC$78:AC1143)+1,"")</f>
        <v/>
      </c>
      <c r="AD1144" s="220">
        <f>'[2]Изложницы без бурта'!B1144</f>
        <v>655</v>
      </c>
      <c r="AE1144" s="220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758</v>
      </c>
      <c r="AM1144" s="56">
        <f>'[2]Изложницы без бурта'!K1144</f>
        <v>0</v>
      </c>
    </row>
    <row r="1145" spans="28:39" x14ac:dyDescent="0.25">
      <c r="AB1145" s="258" t="str">
        <f t="shared" ref="AB1145:AB1153" si="28">IF(MAX(AC1145:AC2222)&lt;ROW(1067:1067),"",VLOOKUP(ROW(1067:1067),AC1145:AD2222,2))</f>
        <v/>
      </c>
      <c r="AC1145" s="259" t="str">
        <f>IF(COUNTIF(AD$78:AD1145,AD1145)=1,MAX(AC$78:AC1144)+1,"")</f>
        <v/>
      </c>
      <c r="AD1145" s="220">
        <f>'[2]Изложницы без бурта'!B1145</f>
        <v>655</v>
      </c>
      <c r="AE1145" s="220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758</v>
      </c>
      <c r="AM1145" s="56">
        <f>'[2]Изложницы без бурта'!K1145</f>
        <v>0</v>
      </c>
    </row>
    <row r="1146" spans="28:39" x14ac:dyDescent="0.25">
      <c r="AB1146" s="258" t="str">
        <f t="shared" si="28"/>
        <v/>
      </c>
      <c r="AC1146" s="259" t="str">
        <f>IF(COUNTIF(AD$78:AD1146,AD1146)=1,MAX(AC$78:AC1145)+1,"")</f>
        <v/>
      </c>
      <c r="AD1146" s="220">
        <f>'[2]Изложницы без бурта'!B1146</f>
        <v>655</v>
      </c>
      <c r="AE1146" s="220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758</v>
      </c>
      <c r="AM1146" s="56">
        <f>'[2]Изложницы без бурта'!K1146</f>
        <v>0</v>
      </c>
    </row>
    <row r="1147" spans="28:39" x14ac:dyDescent="0.25">
      <c r="AB1147" s="258" t="str">
        <f t="shared" si="28"/>
        <v/>
      </c>
      <c r="AC1147" s="259" t="str">
        <f>IF(COUNTIF(AD$78:AD1147,AD1147)=1,MAX(AC$78:AC1146)+1,"")</f>
        <v/>
      </c>
      <c r="AD1147" s="220">
        <f>'[2]Изложницы без бурта'!B1147</f>
        <v>655</v>
      </c>
      <c r="AE1147" s="220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758</v>
      </c>
      <c r="AM1147" s="56">
        <f>'[2]Изложницы без бурта'!K1147</f>
        <v>0</v>
      </c>
    </row>
    <row r="1148" spans="28:39" x14ac:dyDescent="0.25">
      <c r="AB1148" s="258" t="str">
        <f t="shared" si="28"/>
        <v/>
      </c>
      <c r="AC1148" s="259">
        <f>IF(COUNTIF(AD$78:AD1148,AD1148)=1,MAX(AC$78:AC1147)+1,"")</f>
        <v>177</v>
      </c>
      <c r="AD1148" s="220">
        <f>'[2]Изложницы без бурта'!B1148</f>
        <v>657.5</v>
      </c>
      <c r="AE1148" s="220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759</v>
      </c>
      <c r="AM1148" s="56">
        <f>'[2]Изложницы без бурта'!K1148</f>
        <v>0</v>
      </c>
    </row>
    <row r="1149" spans="28:39" x14ac:dyDescent="0.25">
      <c r="AB1149" s="258" t="str">
        <f t="shared" si="28"/>
        <v/>
      </c>
      <c r="AC1149" s="259">
        <f>IF(COUNTIF(AD$78:AD1149,AD1149)=1,MAX(AC$78:AC1148)+1,"")</f>
        <v>178</v>
      </c>
      <c r="AD1149" s="220">
        <f>'[2]Изложницы без бурта'!B1149</f>
        <v>660</v>
      </c>
      <c r="AE1149" s="220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760</v>
      </c>
      <c r="AM1149" s="56">
        <f>'[2]Изложницы без бурта'!K1149</f>
        <v>0</v>
      </c>
    </row>
    <row r="1150" spans="28:39" x14ac:dyDescent="0.25">
      <c r="AB1150" s="258" t="str">
        <f t="shared" si="28"/>
        <v/>
      </c>
      <c r="AC1150" s="259" t="str">
        <f>IF(COUNTIF(AD$78:AD1150,AD1150)=1,MAX(AC$78:AC1149)+1,"")</f>
        <v/>
      </c>
      <c r="AD1150" s="220">
        <f>'[2]Изложницы без бурта'!B1150</f>
        <v>660</v>
      </c>
      <c r="AE1150" s="220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760</v>
      </c>
      <c r="AM1150" s="56">
        <f>'[2]Изложницы без бурта'!K1150</f>
        <v>0</v>
      </c>
    </row>
    <row r="1151" spans="28:39" x14ac:dyDescent="0.25">
      <c r="AB1151" s="258" t="str">
        <f t="shared" si="28"/>
        <v/>
      </c>
      <c r="AC1151" s="259">
        <f>IF(COUNTIF(AD$78:AD1151,AD1151)=1,MAX(AC$78:AC1150)+1,"")</f>
        <v>179</v>
      </c>
      <c r="AD1151" s="220">
        <f>'[2]Изложницы без бурта'!B1151</f>
        <v>665</v>
      </c>
      <c r="AE1151" s="220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1051</v>
      </c>
      <c r="AM1151" s="56">
        <f>'[2]Изложницы без бурта'!K1151</f>
        <v>0</v>
      </c>
    </row>
    <row r="1152" spans="28:39" x14ac:dyDescent="0.25">
      <c r="AB1152" s="258" t="str">
        <f t="shared" si="28"/>
        <v/>
      </c>
      <c r="AC1152" s="259">
        <f>IF(COUNTIF(AD$78:AD1152,AD1152)=1,MAX(AC$78:AC1151)+1,"")</f>
        <v>180</v>
      </c>
      <c r="AD1152" s="220">
        <f>'[2]Изложницы без бурта'!B1152</f>
        <v>667.5</v>
      </c>
      <c r="AE1152" s="220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1052</v>
      </c>
      <c r="AM1152" s="56">
        <f>'[2]Изложницы без бурта'!K1152</f>
        <v>0</v>
      </c>
    </row>
    <row r="1153" spans="28:39" x14ac:dyDescent="0.25">
      <c r="AB1153" s="258" t="str">
        <f t="shared" si="28"/>
        <v/>
      </c>
      <c r="AC1153" s="259">
        <f>IF(COUNTIF(AD$78:AD1153,AD1153)=1,MAX(AC$78:AC1152)+1,"")</f>
        <v>181</v>
      </c>
      <c r="AD1153" s="220">
        <f>'[2]Изложницы без бурта'!B1153</f>
        <v>700</v>
      </c>
      <c r="AE1153" s="220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1053</v>
      </c>
      <c r="AM1153" s="56">
        <f>'[2]Изложницы без бурта'!K1153</f>
        <v>0</v>
      </c>
    </row>
    <row r="1154" spans="28:39" x14ac:dyDescent="0.25">
      <c r="AB1154" s="258"/>
      <c r="AC1154" s="259"/>
    </row>
    <row r="1155" spans="28:39" x14ac:dyDescent="0.25">
      <c r="AB1155" s="258"/>
      <c r="AC1155" s="259"/>
    </row>
    <row r="1156" spans="28:39" x14ac:dyDescent="0.25">
      <c r="AB1156" s="258"/>
      <c r="AC1156" s="259"/>
    </row>
    <row r="1157" spans="28:39" x14ac:dyDescent="0.25">
      <c r="AB1157" s="258"/>
      <c r="AC1157" s="220"/>
    </row>
  </sheetData>
  <sheetProtection selectLockedCells="1" selectUnlockedCells="1"/>
  <autoFilter ref="AD1:AE1157" xr:uid="{CDC4F641-65FE-4462-9119-AD3EFA3FEDA8}"/>
  <mergeCells count="12">
    <mergeCell ref="P232:R232"/>
    <mergeCell ref="M259:O259"/>
    <mergeCell ref="AZ2:BH2"/>
    <mergeCell ref="K158:P158"/>
    <mergeCell ref="C71:E71"/>
    <mergeCell ref="AO25:AP25"/>
    <mergeCell ref="AR2:AX2"/>
    <mergeCell ref="A1:B1"/>
    <mergeCell ref="C44:E44"/>
    <mergeCell ref="C57:E57"/>
    <mergeCell ref="P142:S142"/>
    <mergeCell ref="H36:H37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2024-05-07T11:10:05Z</cp:lastPrinted>
  <dcterms:created xsi:type="dcterms:W3CDTF">2006-09-16T00:00:00Z</dcterms:created>
  <dcterms:modified xsi:type="dcterms:W3CDTF">2024-05-08T11:24:07Z</dcterms:modified>
  <dc:language>ru-RU</dc:language>
</cp:coreProperties>
</file>